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80" yWindow="108" windowWidth="11352" windowHeight="15480" activeTab="2"/>
  </bookViews>
  <sheets>
    <sheet name="model 1a" sheetId="5" r:id="rId1"/>
    <sheet name="model 1b" sheetId="1" r:id="rId2"/>
    <sheet name="model 2" sheetId="4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C23" i="4"/>
  <c r="C15" s="1"/>
  <c r="C22"/>
  <c r="C46" s="1"/>
  <c r="C24"/>
  <c r="C25" s="1"/>
  <c r="C38"/>
  <c r="C37"/>
  <c r="E44"/>
  <c r="E43"/>
  <c r="E33"/>
  <c r="E32"/>
  <c r="E31"/>
  <c r="E30"/>
  <c r="A4"/>
  <c r="E45" i="5"/>
  <c r="E44"/>
  <c r="C39"/>
  <c r="C38"/>
  <c r="C24"/>
  <c r="C25" s="1"/>
  <c r="C26" s="1"/>
  <c r="C27" s="1"/>
  <c r="C23"/>
  <c r="E34"/>
  <c r="E33"/>
  <c r="E32"/>
  <c r="E31"/>
  <c r="A4"/>
  <c r="C23" i="1"/>
  <c r="C24" s="1"/>
  <c r="C25" s="1"/>
  <c r="C38"/>
  <c r="C37"/>
  <c r="C22"/>
  <c r="E44"/>
  <c r="E43"/>
  <c r="E33"/>
  <c r="E32"/>
  <c r="E31"/>
  <c r="E30"/>
  <c r="A4"/>
  <c r="C26" i="6"/>
  <c r="C24"/>
  <c r="D44"/>
  <c r="D43"/>
  <c r="D33"/>
  <c r="D32"/>
  <c r="D31"/>
  <c r="D30"/>
  <c r="C23"/>
  <c r="C22"/>
  <c r="A3"/>
  <c r="C38"/>
  <c r="C37"/>
  <c r="C36"/>
  <c r="R7" i="1"/>
  <c r="P7" i="4"/>
  <c r="E7"/>
  <c r="E7" i="1"/>
  <c r="R7" i="5"/>
  <c r="E7"/>
  <c r="O50" i="1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49"/>
  <c r="O50" i="5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C15" l="1"/>
  <c r="C37" s="1"/>
  <c r="C15" i="1"/>
  <c r="C26" i="4"/>
  <c r="C16" s="1"/>
  <c r="C36"/>
  <c r="C17" i="5"/>
  <c r="C36" i="1"/>
  <c r="C25" i="6"/>
  <c r="C15"/>
  <c r="B50" i="5"/>
  <c r="A50"/>
  <c r="A49" i="1"/>
  <c r="A1" i="5"/>
  <c r="B49" i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A51" i="4"/>
  <c r="B51"/>
  <c r="C16" i="5" l="1"/>
  <c r="C50" s="1"/>
  <c r="C17" i="4"/>
  <c r="C16" i="6"/>
  <c r="C17"/>
  <c r="V7" i="4"/>
  <c r="K7"/>
  <c r="A50" i="1"/>
  <c r="N49"/>
  <c r="P49"/>
  <c r="X7"/>
  <c r="K7"/>
  <c r="A51"/>
  <c r="P50"/>
  <c r="N50" i="5"/>
  <c r="P50"/>
  <c r="B5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X7"/>
  <c r="K7"/>
  <c r="M51" i="4"/>
  <c r="L51"/>
  <c r="N51"/>
  <c r="B52"/>
  <c r="A52"/>
  <c r="A51" i="5"/>
  <c r="C51" i="4"/>
  <c r="D51" s="1"/>
  <c r="C51" i="5" l="1"/>
  <c r="D50"/>
  <c r="K50" s="1"/>
  <c r="N52" i="4"/>
  <c r="B53"/>
  <c r="L52"/>
  <c r="M52" i="5"/>
  <c r="M54"/>
  <c r="M56"/>
  <c r="M58"/>
  <c r="M60"/>
  <c r="M62"/>
  <c r="M64"/>
  <c r="M66"/>
  <c r="M68"/>
  <c r="M70"/>
  <c r="M72"/>
  <c r="M74"/>
  <c r="M76"/>
  <c r="M78"/>
  <c r="M80"/>
  <c r="M82"/>
  <c r="M84"/>
  <c r="M86"/>
  <c r="M88"/>
  <c r="M90"/>
  <c r="M92"/>
  <c r="M94"/>
  <c r="M96"/>
  <c r="M98"/>
  <c r="M100"/>
  <c r="M102"/>
  <c r="M104"/>
  <c r="M106"/>
  <c r="M108"/>
  <c r="M110"/>
  <c r="M112"/>
  <c r="M114"/>
  <c r="M116"/>
  <c r="M118"/>
  <c r="M120"/>
  <c r="M122"/>
  <c r="M124"/>
  <c r="M126"/>
  <c r="M128"/>
  <c r="M130"/>
  <c r="M51"/>
  <c r="N51" s="1"/>
  <c r="M53"/>
  <c r="M55"/>
  <c r="M57"/>
  <c r="M59"/>
  <c r="M61"/>
  <c r="M63"/>
  <c r="M65"/>
  <c r="M67"/>
  <c r="M69"/>
  <c r="M71"/>
  <c r="M73"/>
  <c r="M75"/>
  <c r="M77"/>
  <c r="M79"/>
  <c r="M81"/>
  <c r="M83"/>
  <c r="M85"/>
  <c r="M87"/>
  <c r="M89"/>
  <c r="M91"/>
  <c r="M93"/>
  <c r="M95"/>
  <c r="M97"/>
  <c r="M99"/>
  <c r="M101"/>
  <c r="M103"/>
  <c r="M105"/>
  <c r="M107"/>
  <c r="M109"/>
  <c r="M111"/>
  <c r="M113"/>
  <c r="M115"/>
  <c r="M117"/>
  <c r="M119"/>
  <c r="M121"/>
  <c r="M123"/>
  <c r="M125"/>
  <c r="M127"/>
  <c r="M129"/>
  <c r="M50"/>
  <c r="C52" i="4"/>
  <c r="G52" s="1"/>
  <c r="P51" i="1"/>
  <c r="A52"/>
  <c r="F50" i="5"/>
  <c r="M52" i="4"/>
  <c r="A53"/>
  <c r="N53" s="1"/>
  <c r="D51" i="5"/>
  <c r="G51" s="1"/>
  <c r="P51"/>
  <c r="A52"/>
  <c r="P52" s="1"/>
  <c r="E50"/>
  <c r="G50"/>
  <c r="J50"/>
  <c r="F51" i="4"/>
  <c r="E51"/>
  <c r="H51"/>
  <c r="J51"/>
  <c r="G51"/>
  <c r="I51"/>
  <c r="K51"/>
  <c r="L50" i="5" l="1"/>
  <c r="H50"/>
  <c r="I50"/>
  <c r="D52" i="4"/>
  <c r="B54"/>
  <c r="L53"/>
  <c r="J52"/>
  <c r="I52"/>
  <c r="E52"/>
  <c r="K52"/>
  <c r="F52"/>
  <c r="H52"/>
  <c r="N52" i="5"/>
  <c r="H51"/>
  <c r="L51"/>
  <c r="A53" i="1"/>
  <c r="P52"/>
  <c r="E51" i="5"/>
  <c r="I51"/>
  <c r="J51"/>
  <c r="F51"/>
  <c r="K51"/>
  <c r="M53" i="4"/>
  <c r="A54"/>
  <c r="N54" s="1"/>
  <c r="C53"/>
  <c r="A53" i="5"/>
  <c r="P53" s="1"/>
  <c r="C52"/>
  <c r="D52"/>
  <c r="B55" i="4" l="1"/>
  <c r="L54"/>
  <c r="N53" i="5"/>
  <c r="P53" i="1"/>
  <c r="A54"/>
  <c r="F53" i="4"/>
  <c r="I53"/>
  <c r="H53"/>
  <c r="D53"/>
  <c r="J53"/>
  <c r="K53"/>
  <c r="G53"/>
  <c r="E53"/>
  <c r="M54"/>
  <c r="A55"/>
  <c r="N55" s="1"/>
  <c r="C54"/>
  <c r="H52" i="5"/>
  <c r="G52"/>
  <c r="F52"/>
  <c r="K52"/>
  <c r="I52"/>
  <c r="J52"/>
  <c r="L52"/>
  <c r="E52"/>
  <c r="A54"/>
  <c r="C53"/>
  <c r="D53"/>
  <c r="B56" i="4" l="1"/>
  <c r="L55"/>
  <c r="P54" i="5"/>
  <c r="N54"/>
  <c r="A55" i="1"/>
  <c r="P54"/>
  <c r="M55" i="4"/>
  <c r="A56"/>
  <c r="C55"/>
  <c r="D54"/>
  <c r="J54"/>
  <c r="F54"/>
  <c r="E54"/>
  <c r="H54"/>
  <c r="I54"/>
  <c r="K54"/>
  <c r="G54"/>
  <c r="J53" i="5"/>
  <c r="H53"/>
  <c r="L53"/>
  <c r="I53"/>
  <c r="K53"/>
  <c r="G53"/>
  <c r="E53"/>
  <c r="F53"/>
  <c r="A55"/>
  <c r="C54"/>
  <c r="D54"/>
  <c r="N56" i="4" l="1"/>
  <c r="B57"/>
  <c r="L56"/>
  <c r="P55" i="5"/>
  <c r="N55"/>
  <c r="P55" i="1"/>
  <c r="A56"/>
  <c r="K55" i="4"/>
  <c r="F55"/>
  <c r="I55"/>
  <c r="H55"/>
  <c r="G55"/>
  <c r="E55"/>
  <c r="D55"/>
  <c r="J55"/>
  <c r="M56"/>
  <c r="A57"/>
  <c r="N57" s="1"/>
  <c r="C56"/>
  <c r="H54" i="5"/>
  <c r="K54"/>
  <c r="J54"/>
  <c r="F54"/>
  <c r="L54"/>
  <c r="I54"/>
  <c r="G54"/>
  <c r="E54"/>
  <c r="A56"/>
  <c r="C55"/>
  <c r="D55"/>
  <c r="B58" i="4" l="1"/>
  <c r="L57"/>
  <c r="P56" i="5"/>
  <c r="N56"/>
  <c r="A57" i="1"/>
  <c r="P56"/>
  <c r="E56" i="4"/>
  <c r="F56"/>
  <c r="H56"/>
  <c r="G56"/>
  <c r="I56"/>
  <c r="D56"/>
  <c r="J56"/>
  <c r="K56"/>
  <c r="M57"/>
  <c r="A58"/>
  <c r="C57"/>
  <c r="A57" i="5"/>
  <c r="C56"/>
  <c r="D56"/>
  <c r="F55"/>
  <c r="H55"/>
  <c r="E55"/>
  <c r="G55"/>
  <c r="L55"/>
  <c r="J55"/>
  <c r="K55"/>
  <c r="I55"/>
  <c r="N58" i="4" l="1"/>
  <c r="B59"/>
  <c r="L58"/>
  <c r="P57" i="5"/>
  <c r="N57"/>
  <c r="P57" i="1"/>
  <c r="A58"/>
  <c r="F57" i="4"/>
  <c r="D57"/>
  <c r="K57"/>
  <c r="H57"/>
  <c r="E57"/>
  <c r="I57"/>
  <c r="J57"/>
  <c r="G57"/>
  <c r="M58"/>
  <c r="A59"/>
  <c r="N59" s="1"/>
  <c r="C58"/>
  <c r="H56" i="5"/>
  <c r="F56"/>
  <c r="G56"/>
  <c r="J56"/>
  <c r="L56"/>
  <c r="I56"/>
  <c r="K56"/>
  <c r="E56"/>
  <c r="A58"/>
  <c r="C57"/>
  <c r="D57"/>
  <c r="B60" i="4" l="1"/>
  <c r="L59"/>
  <c r="P58" i="5"/>
  <c r="N58"/>
  <c r="A59" i="1"/>
  <c r="P58"/>
  <c r="G58" i="4"/>
  <c r="H58"/>
  <c r="D58"/>
  <c r="I58"/>
  <c r="K58"/>
  <c r="E58"/>
  <c r="F58"/>
  <c r="J58"/>
  <c r="M59"/>
  <c r="A60"/>
  <c r="C59"/>
  <c r="K57" i="5"/>
  <c r="G57"/>
  <c r="J57"/>
  <c r="E57"/>
  <c r="F57"/>
  <c r="L57"/>
  <c r="H57"/>
  <c r="I57"/>
  <c r="A59"/>
  <c r="C58"/>
  <c r="D58"/>
  <c r="N60" i="4" l="1"/>
  <c r="B61"/>
  <c r="L60"/>
  <c r="P59" i="5"/>
  <c r="N59"/>
  <c r="P59" i="1"/>
  <c r="A60"/>
  <c r="G59" i="4"/>
  <c r="H59"/>
  <c r="I59"/>
  <c r="D59"/>
  <c r="E59"/>
  <c r="F59"/>
  <c r="K59"/>
  <c r="J59"/>
  <c r="M60"/>
  <c r="A61"/>
  <c r="N61" s="1"/>
  <c r="C60"/>
  <c r="L58" i="5"/>
  <c r="I58"/>
  <c r="G58"/>
  <c r="F58"/>
  <c r="J58"/>
  <c r="E58"/>
  <c r="H58"/>
  <c r="K58"/>
  <c r="A60"/>
  <c r="C59"/>
  <c r="D59"/>
  <c r="B62" i="4" l="1"/>
  <c r="L61"/>
  <c r="P60" i="5"/>
  <c r="N60"/>
  <c r="A61" i="1"/>
  <c r="P60"/>
  <c r="D60" i="4"/>
  <c r="G60"/>
  <c r="I60"/>
  <c r="E60"/>
  <c r="H60"/>
  <c r="K60"/>
  <c r="J60"/>
  <c r="F60"/>
  <c r="M61"/>
  <c r="A62"/>
  <c r="C61"/>
  <c r="A61" i="5"/>
  <c r="C60"/>
  <c r="D60"/>
  <c r="K59"/>
  <c r="G59"/>
  <c r="H59"/>
  <c r="L59"/>
  <c r="J59"/>
  <c r="E59"/>
  <c r="F59"/>
  <c r="I59"/>
  <c r="N62" i="4" l="1"/>
  <c r="B63"/>
  <c r="L62"/>
  <c r="P61" i="5"/>
  <c r="N61"/>
  <c r="P61" i="1"/>
  <c r="A62"/>
  <c r="I61" i="4"/>
  <c r="H61"/>
  <c r="G61"/>
  <c r="F61"/>
  <c r="D61"/>
  <c r="J61"/>
  <c r="E61"/>
  <c r="K61"/>
  <c r="M62"/>
  <c r="A63"/>
  <c r="N63" s="1"/>
  <c r="C62"/>
  <c r="H60" i="5"/>
  <c r="F60"/>
  <c r="G60"/>
  <c r="J60"/>
  <c r="L60"/>
  <c r="I60"/>
  <c r="K60"/>
  <c r="E60"/>
  <c r="A62"/>
  <c r="C61"/>
  <c r="D61"/>
  <c r="B64" i="4" l="1"/>
  <c r="L63"/>
  <c r="P62" i="5"/>
  <c r="N62"/>
  <c r="A63" i="1"/>
  <c r="P62"/>
  <c r="G62" i="4"/>
  <c r="D62"/>
  <c r="F62"/>
  <c r="J62"/>
  <c r="K62"/>
  <c r="H62"/>
  <c r="I62"/>
  <c r="E62"/>
  <c r="M63"/>
  <c r="A64"/>
  <c r="C63"/>
  <c r="K61" i="5"/>
  <c r="G61"/>
  <c r="J61"/>
  <c r="E61"/>
  <c r="F61"/>
  <c r="L61"/>
  <c r="H61"/>
  <c r="I61"/>
  <c r="A63"/>
  <c r="C62"/>
  <c r="D62"/>
  <c r="N64" i="4" l="1"/>
  <c r="B65"/>
  <c r="L64"/>
  <c r="P63" i="5"/>
  <c r="N63"/>
  <c r="P63" i="1"/>
  <c r="A64"/>
  <c r="G63" i="4"/>
  <c r="I63"/>
  <c r="H63"/>
  <c r="J63"/>
  <c r="D63"/>
  <c r="K63"/>
  <c r="E63"/>
  <c r="F63"/>
  <c r="M64"/>
  <c r="A65"/>
  <c r="N65" s="1"/>
  <c r="C64"/>
  <c r="L62" i="5"/>
  <c r="I62"/>
  <c r="G62"/>
  <c r="F62"/>
  <c r="J62"/>
  <c r="E62"/>
  <c r="H62"/>
  <c r="K62"/>
  <c r="A64"/>
  <c r="C63"/>
  <c r="D63"/>
  <c r="B66" i="4" l="1"/>
  <c r="L65"/>
  <c r="P64" i="5"/>
  <c r="N64"/>
  <c r="A65" i="1"/>
  <c r="P64"/>
  <c r="M65" i="4"/>
  <c r="A66"/>
  <c r="C65"/>
  <c r="K64"/>
  <c r="J64"/>
  <c r="H64"/>
  <c r="F64"/>
  <c r="E64"/>
  <c r="D64"/>
  <c r="G64"/>
  <c r="I64"/>
  <c r="K63" i="5"/>
  <c r="G63"/>
  <c r="H63"/>
  <c r="L63"/>
  <c r="J63"/>
  <c r="E63"/>
  <c r="F63"/>
  <c r="I63"/>
  <c r="A65"/>
  <c r="C64"/>
  <c r="D64"/>
  <c r="N66" i="4" l="1"/>
  <c r="B67"/>
  <c r="L66"/>
  <c r="P65" i="5"/>
  <c r="N65"/>
  <c r="P65" i="1"/>
  <c r="A66"/>
  <c r="E65" i="4"/>
  <c r="D65"/>
  <c r="J65"/>
  <c r="K65"/>
  <c r="G65"/>
  <c r="I65"/>
  <c r="F65"/>
  <c r="H65"/>
  <c r="M66"/>
  <c r="A67"/>
  <c r="N67" s="1"/>
  <c r="C66"/>
  <c r="I64" i="5"/>
  <c r="K64"/>
  <c r="J64"/>
  <c r="L64"/>
  <c r="H64"/>
  <c r="G64"/>
  <c r="E64"/>
  <c r="F64"/>
  <c r="A66"/>
  <c r="C65"/>
  <c r="D65"/>
  <c r="B68" i="4" l="1"/>
  <c r="L67"/>
  <c r="P66" i="5"/>
  <c r="N66"/>
  <c r="A67" i="1"/>
  <c r="P66"/>
  <c r="D66" i="4"/>
  <c r="E66"/>
  <c r="J66"/>
  <c r="K66"/>
  <c r="F66"/>
  <c r="G66"/>
  <c r="H66"/>
  <c r="I66"/>
  <c r="M67"/>
  <c r="A68"/>
  <c r="C67"/>
  <c r="A67" i="5"/>
  <c r="C66"/>
  <c r="D66"/>
  <c r="J65"/>
  <c r="H65"/>
  <c r="L65"/>
  <c r="I65"/>
  <c r="K65"/>
  <c r="G65"/>
  <c r="E65"/>
  <c r="F65"/>
  <c r="N68" i="4" l="1"/>
  <c r="B69"/>
  <c r="L68"/>
  <c r="P67" i="5"/>
  <c r="N67"/>
  <c r="P67" i="1"/>
  <c r="A68"/>
  <c r="G67" i="4"/>
  <c r="H67"/>
  <c r="I67"/>
  <c r="D67"/>
  <c r="E67"/>
  <c r="J67"/>
  <c r="F67"/>
  <c r="K67"/>
  <c r="M68"/>
  <c r="A69"/>
  <c r="N69" s="1"/>
  <c r="C68"/>
  <c r="H66" i="5"/>
  <c r="K66"/>
  <c r="J66"/>
  <c r="F66"/>
  <c r="L66"/>
  <c r="I66"/>
  <c r="G66"/>
  <c r="E66"/>
  <c r="A68"/>
  <c r="C67"/>
  <c r="D67"/>
  <c r="B70" i="4" l="1"/>
  <c r="L69"/>
  <c r="P68" i="5"/>
  <c r="N68"/>
  <c r="A69" i="1"/>
  <c r="P68"/>
  <c r="D68" i="4"/>
  <c r="I68"/>
  <c r="E68"/>
  <c r="K68"/>
  <c r="F68"/>
  <c r="G68"/>
  <c r="J68"/>
  <c r="H68"/>
  <c r="M69"/>
  <c r="A70"/>
  <c r="C69"/>
  <c r="I67" i="5"/>
  <c r="L67"/>
  <c r="J67"/>
  <c r="G67"/>
  <c r="K67"/>
  <c r="F67"/>
  <c r="E67"/>
  <c r="H67"/>
  <c r="A69"/>
  <c r="C68"/>
  <c r="D68"/>
  <c r="N70" i="4" l="1"/>
  <c r="B71"/>
  <c r="L70"/>
  <c r="P69" i="5"/>
  <c r="N69"/>
  <c r="P69" i="1"/>
  <c r="A70"/>
  <c r="I69" i="4"/>
  <c r="K69"/>
  <c r="J69"/>
  <c r="G69"/>
  <c r="D69"/>
  <c r="H69"/>
  <c r="E69"/>
  <c r="F69"/>
  <c r="M70"/>
  <c r="A71"/>
  <c r="N71" s="1"/>
  <c r="C70"/>
  <c r="I68" i="5"/>
  <c r="K68"/>
  <c r="J68"/>
  <c r="L68"/>
  <c r="G68"/>
  <c r="F68"/>
  <c r="E68"/>
  <c r="H68"/>
  <c r="A70"/>
  <c r="C69"/>
  <c r="D69"/>
  <c r="B72" i="4" l="1"/>
  <c r="L71"/>
  <c r="P70" i="5"/>
  <c r="N70"/>
  <c r="A71" i="1"/>
  <c r="P70"/>
  <c r="M71" i="4"/>
  <c r="A72"/>
  <c r="N72" s="1"/>
  <c r="C71"/>
  <c r="G70"/>
  <c r="D70"/>
  <c r="I70"/>
  <c r="K70"/>
  <c r="E70"/>
  <c r="J70"/>
  <c r="H70"/>
  <c r="F70"/>
  <c r="F69" i="5"/>
  <c r="G69"/>
  <c r="I69"/>
  <c r="E69"/>
  <c r="L69"/>
  <c r="J69"/>
  <c r="K69"/>
  <c r="H69"/>
  <c r="A71"/>
  <c r="C70"/>
  <c r="D70"/>
  <c r="B73" i="4" l="1"/>
  <c r="L72"/>
  <c r="P71" i="5"/>
  <c r="N71"/>
  <c r="P71" i="1"/>
  <c r="A72"/>
  <c r="G71" i="4"/>
  <c r="E71"/>
  <c r="J71"/>
  <c r="D71"/>
  <c r="H71"/>
  <c r="K71"/>
  <c r="F71"/>
  <c r="I71"/>
  <c r="M72"/>
  <c r="A73"/>
  <c r="C72"/>
  <c r="H70" i="5"/>
  <c r="K70"/>
  <c r="J70"/>
  <c r="F70"/>
  <c r="G70"/>
  <c r="I70"/>
  <c r="E70"/>
  <c r="L70"/>
  <c r="A72"/>
  <c r="C71"/>
  <c r="D71"/>
  <c r="N73" i="4" l="1"/>
  <c r="B74"/>
  <c r="L73"/>
  <c r="P72" i="5"/>
  <c r="N72"/>
  <c r="A73" i="1"/>
  <c r="P72"/>
  <c r="D72" i="4"/>
  <c r="H72"/>
  <c r="E72"/>
  <c r="K72"/>
  <c r="J72"/>
  <c r="F72"/>
  <c r="G72"/>
  <c r="I72"/>
  <c r="M73"/>
  <c r="A74"/>
  <c r="N74" s="1"/>
  <c r="C73"/>
  <c r="F71" i="5"/>
  <c r="G71"/>
  <c r="I71"/>
  <c r="E71"/>
  <c r="J71"/>
  <c r="K71"/>
  <c r="L71"/>
  <c r="H71"/>
  <c r="A73"/>
  <c r="C72"/>
  <c r="D72"/>
  <c r="B75" i="4" l="1"/>
  <c r="L74"/>
  <c r="P73" i="5"/>
  <c r="N73"/>
  <c r="P73" i="1"/>
  <c r="A74"/>
  <c r="D73" i="4"/>
  <c r="J73"/>
  <c r="G73"/>
  <c r="K73"/>
  <c r="I73"/>
  <c r="H73"/>
  <c r="E73"/>
  <c r="F73"/>
  <c r="M74"/>
  <c r="A75"/>
  <c r="C74"/>
  <c r="H72" i="5"/>
  <c r="F72"/>
  <c r="G72"/>
  <c r="I72"/>
  <c r="K72"/>
  <c r="J72"/>
  <c r="L72"/>
  <c r="E72"/>
  <c r="A74"/>
  <c r="C73"/>
  <c r="D73"/>
  <c r="N75" i="4" l="1"/>
  <c r="B76"/>
  <c r="L75"/>
  <c r="P74" i="5"/>
  <c r="N74"/>
  <c r="A75" i="1"/>
  <c r="P74"/>
  <c r="D74" i="4"/>
  <c r="I74"/>
  <c r="G74"/>
  <c r="F74"/>
  <c r="E74"/>
  <c r="J74"/>
  <c r="K74"/>
  <c r="H74"/>
  <c r="M75"/>
  <c r="A76"/>
  <c r="N76" s="1"/>
  <c r="C75"/>
  <c r="A75" i="5"/>
  <c r="C74"/>
  <c r="D74"/>
  <c r="H73"/>
  <c r="J73"/>
  <c r="L73"/>
  <c r="I73"/>
  <c r="K73"/>
  <c r="F73"/>
  <c r="E73"/>
  <c r="G73"/>
  <c r="B77" i="4" l="1"/>
  <c r="L76"/>
  <c r="P75" i="5"/>
  <c r="N75"/>
  <c r="P75" i="1"/>
  <c r="A76"/>
  <c r="H75" i="4"/>
  <c r="D75"/>
  <c r="I75"/>
  <c r="E75"/>
  <c r="G75"/>
  <c r="K75"/>
  <c r="F75"/>
  <c r="J75"/>
  <c r="M76"/>
  <c r="A77"/>
  <c r="C76"/>
  <c r="J74" i="5"/>
  <c r="F74"/>
  <c r="H74"/>
  <c r="K74"/>
  <c r="L74"/>
  <c r="I74"/>
  <c r="G74"/>
  <c r="E74"/>
  <c r="A76"/>
  <c r="C75"/>
  <c r="D75"/>
  <c r="N77" i="4" l="1"/>
  <c r="B78"/>
  <c r="L77"/>
  <c r="P76" i="5"/>
  <c r="N76"/>
  <c r="A77" i="1"/>
  <c r="P76"/>
  <c r="D76" i="4"/>
  <c r="E76"/>
  <c r="J76"/>
  <c r="G76"/>
  <c r="I76"/>
  <c r="F76"/>
  <c r="K76"/>
  <c r="H76"/>
  <c r="M77"/>
  <c r="A78"/>
  <c r="N78" s="1"/>
  <c r="C77"/>
  <c r="A77" i="5"/>
  <c r="C76"/>
  <c r="D76"/>
  <c r="H75"/>
  <c r="J75"/>
  <c r="E75"/>
  <c r="F75"/>
  <c r="L75"/>
  <c r="I75"/>
  <c r="K75"/>
  <c r="G75"/>
  <c r="B79" i="4" l="1"/>
  <c r="L78"/>
  <c r="P77" i="5"/>
  <c r="N77"/>
  <c r="P77" i="1"/>
  <c r="A78"/>
  <c r="F77" i="4"/>
  <c r="G77"/>
  <c r="E77"/>
  <c r="J77"/>
  <c r="H77"/>
  <c r="K77"/>
  <c r="I77"/>
  <c r="D77"/>
  <c r="M78"/>
  <c r="A79"/>
  <c r="C78"/>
  <c r="F76" i="5"/>
  <c r="G76"/>
  <c r="H76"/>
  <c r="L76"/>
  <c r="J76"/>
  <c r="I76"/>
  <c r="K76"/>
  <c r="E76"/>
  <c r="A78"/>
  <c r="C77"/>
  <c r="D77"/>
  <c r="N79" i="4" l="1"/>
  <c r="B80"/>
  <c r="L79"/>
  <c r="P78" i="5"/>
  <c r="N78"/>
  <c r="A79" i="1"/>
  <c r="P78"/>
  <c r="M79" i="4"/>
  <c r="A80"/>
  <c r="C79"/>
  <c r="F78"/>
  <c r="J78"/>
  <c r="G78"/>
  <c r="D78"/>
  <c r="K78"/>
  <c r="H78"/>
  <c r="I78"/>
  <c r="E78"/>
  <c r="A79" i="5"/>
  <c r="C78"/>
  <c r="D78"/>
  <c r="F77"/>
  <c r="G77"/>
  <c r="L77"/>
  <c r="K77"/>
  <c r="I77"/>
  <c r="J77"/>
  <c r="E77"/>
  <c r="H77"/>
  <c r="N80" i="4" l="1"/>
  <c r="B81"/>
  <c r="L80"/>
  <c r="P79" i="5"/>
  <c r="N79"/>
  <c r="P79" i="1"/>
  <c r="A80"/>
  <c r="H79" i="4"/>
  <c r="E79"/>
  <c r="I79"/>
  <c r="D79"/>
  <c r="F79"/>
  <c r="G79"/>
  <c r="J79"/>
  <c r="K79"/>
  <c r="M80"/>
  <c r="A81"/>
  <c r="C80"/>
  <c r="H78" i="5"/>
  <c r="K78"/>
  <c r="J78"/>
  <c r="F78"/>
  <c r="I78"/>
  <c r="G78"/>
  <c r="E78"/>
  <c r="L78"/>
  <c r="A80"/>
  <c r="C79"/>
  <c r="D79"/>
  <c r="N81" i="4" l="1"/>
  <c r="B82"/>
  <c r="L81"/>
  <c r="P80" i="5"/>
  <c r="N80"/>
  <c r="A81" i="1"/>
  <c r="P80"/>
  <c r="I80" i="4"/>
  <c r="G80"/>
  <c r="J80"/>
  <c r="H80"/>
  <c r="D80"/>
  <c r="E80"/>
  <c r="F80"/>
  <c r="K80"/>
  <c r="M81"/>
  <c r="A82"/>
  <c r="N82" s="1"/>
  <c r="C81"/>
  <c r="F79" i="5"/>
  <c r="G79"/>
  <c r="L79"/>
  <c r="K79"/>
  <c r="J79"/>
  <c r="E79"/>
  <c r="I79"/>
  <c r="H79"/>
  <c r="A81"/>
  <c r="C80"/>
  <c r="D80"/>
  <c r="B83" i="4" l="1"/>
  <c r="L82"/>
  <c r="P81" i="5"/>
  <c r="N81"/>
  <c r="P81" i="1"/>
  <c r="A82"/>
  <c r="F81" i="4"/>
  <c r="J81"/>
  <c r="K81"/>
  <c r="I81"/>
  <c r="D81"/>
  <c r="E81"/>
  <c r="G81"/>
  <c r="H81"/>
  <c r="M82"/>
  <c r="A83"/>
  <c r="C82"/>
  <c r="A82" i="5"/>
  <c r="C81"/>
  <c r="D81"/>
  <c r="H80"/>
  <c r="F80"/>
  <c r="G80"/>
  <c r="K80"/>
  <c r="I80"/>
  <c r="J80"/>
  <c r="L80"/>
  <c r="E80"/>
  <c r="N83" i="4" l="1"/>
  <c r="B84"/>
  <c r="L83"/>
  <c r="P82" i="5"/>
  <c r="N82"/>
  <c r="A83" i="1"/>
  <c r="P82"/>
  <c r="F82" i="4"/>
  <c r="H82"/>
  <c r="I82"/>
  <c r="J82"/>
  <c r="D82"/>
  <c r="G82"/>
  <c r="E82"/>
  <c r="K82"/>
  <c r="M83"/>
  <c r="A84"/>
  <c r="N84" s="1"/>
  <c r="C83"/>
  <c r="H81" i="5"/>
  <c r="J81"/>
  <c r="K81"/>
  <c r="I81"/>
  <c r="E81"/>
  <c r="F81"/>
  <c r="L81"/>
  <c r="G81"/>
  <c r="A83"/>
  <c r="C82"/>
  <c r="D82"/>
  <c r="B85" i="4" l="1"/>
  <c r="L84"/>
  <c r="P83" i="5"/>
  <c r="N83"/>
  <c r="P83" i="1"/>
  <c r="A84"/>
  <c r="H83" i="4"/>
  <c r="J83"/>
  <c r="G83"/>
  <c r="D83"/>
  <c r="K83"/>
  <c r="I83"/>
  <c r="F83"/>
  <c r="E83"/>
  <c r="M84"/>
  <c r="A85"/>
  <c r="C84"/>
  <c r="J82" i="5"/>
  <c r="F82"/>
  <c r="H82"/>
  <c r="K82"/>
  <c r="L82"/>
  <c r="I82"/>
  <c r="G82"/>
  <c r="E82"/>
  <c r="A84"/>
  <c r="C83"/>
  <c r="D83"/>
  <c r="N85" i="4" l="1"/>
  <c r="B86"/>
  <c r="L85"/>
  <c r="P84" i="5"/>
  <c r="N84"/>
  <c r="A85" i="1"/>
  <c r="P84"/>
  <c r="M85" i="4"/>
  <c r="A86"/>
  <c r="C85"/>
  <c r="G84"/>
  <c r="K84"/>
  <c r="D84"/>
  <c r="F84"/>
  <c r="E84"/>
  <c r="I84"/>
  <c r="J84"/>
  <c r="H84"/>
  <c r="H83" i="5"/>
  <c r="J83"/>
  <c r="K83"/>
  <c r="L83"/>
  <c r="F83"/>
  <c r="I83"/>
  <c r="E83"/>
  <c r="G83"/>
  <c r="A85"/>
  <c r="C84"/>
  <c r="D84"/>
  <c r="N86" i="4" l="1"/>
  <c r="B87"/>
  <c r="L86"/>
  <c r="P85" i="5"/>
  <c r="N85"/>
  <c r="P85" i="1"/>
  <c r="A86"/>
  <c r="F85" i="4"/>
  <c r="D85"/>
  <c r="G85"/>
  <c r="E85"/>
  <c r="I85"/>
  <c r="J85"/>
  <c r="K85"/>
  <c r="H85"/>
  <c r="M86"/>
  <c r="A87"/>
  <c r="N87" s="1"/>
  <c r="C86"/>
  <c r="F84" i="5"/>
  <c r="G84"/>
  <c r="H84"/>
  <c r="J84"/>
  <c r="L84"/>
  <c r="I84"/>
  <c r="K84"/>
  <c r="E84"/>
  <c r="A86"/>
  <c r="C85"/>
  <c r="D85"/>
  <c r="B88" i="4" l="1"/>
  <c r="L87"/>
  <c r="P86" i="5"/>
  <c r="N86"/>
  <c r="A87" i="1"/>
  <c r="P86"/>
  <c r="G86" i="4"/>
  <c r="F86"/>
  <c r="E86"/>
  <c r="H86"/>
  <c r="I86"/>
  <c r="J86"/>
  <c r="D86"/>
  <c r="K86"/>
  <c r="M87"/>
  <c r="A88"/>
  <c r="C87"/>
  <c r="F85" i="5"/>
  <c r="G85"/>
  <c r="I85"/>
  <c r="E85"/>
  <c r="L85"/>
  <c r="J85"/>
  <c r="K85"/>
  <c r="H85"/>
  <c r="A87"/>
  <c r="C86"/>
  <c r="D86"/>
  <c r="N88" i="4" l="1"/>
  <c r="B89"/>
  <c r="L88"/>
  <c r="P87" i="5"/>
  <c r="N87"/>
  <c r="P87" i="1"/>
  <c r="A88"/>
  <c r="E87" i="4"/>
  <c r="H87"/>
  <c r="F87"/>
  <c r="G87"/>
  <c r="J87"/>
  <c r="K87"/>
  <c r="D87"/>
  <c r="I87"/>
  <c r="M88"/>
  <c r="A89"/>
  <c r="N89" s="1"/>
  <c r="C88"/>
  <c r="H86" i="5"/>
  <c r="K86"/>
  <c r="J86"/>
  <c r="F86"/>
  <c r="G86"/>
  <c r="I86"/>
  <c r="E86"/>
  <c r="L86"/>
  <c r="A88"/>
  <c r="C87"/>
  <c r="D87"/>
  <c r="B90" i="4" l="1"/>
  <c r="L89"/>
  <c r="P88" i="5"/>
  <c r="N88"/>
  <c r="A89" i="1"/>
  <c r="P88"/>
  <c r="I88" i="4"/>
  <c r="D88"/>
  <c r="K88"/>
  <c r="G88"/>
  <c r="H88"/>
  <c r="F88"/>
  <c r="J88"/>
  <c r="E88"/>
  <c r="M89"/>
  <c r="A90"/>
  <c r="C89"/>
  <c r="K87" i="5"/>
  <c r="F87"/>
  <c r="H87"/>
  <c r="J87"/>
  <c r="I87"/>
  <c r="E87"/>
  <c r="G87"/>
  <c r="L87"/>
  <c r="A89"/>
  <c r="C88"/>
  <c r="D88"/>
  <c r="N90" i="4" l="1"/>
  <c r="B91"/>
  <c r="L90"/>
  <c r="P89" i="5"/>
  <c r="N89"/>
  <c r="P89" i="1"/>
  <c r="A90"/>
  <c r="H89" i="4"/>
  <c r="G89"/>
  <c r="F89"/>
  <c r="I89"/>
  <c r="J89"/>
  <c r="E89"/>
  <c r="K89"/>
  <c r="D89"/>
  <c r="M90"/>
  <c r="A91"/>
  <c r="N91" s="1"/>
  <c r="C90"/>
  <c r="J88" i="5"/>
  <c r="L88"/>
  <c r="I88"/>
  <c r="K88"/>
  <c r="H88"/>
  <c r="F88"/>
  <c r="G88"/>
  <c r="E88"/>
  <c r="A90"/>
  <c r="C89"/>
  <c r="D89"/>
  <c r="B92" i="4" l="1"/>
  <c r="L91"/>
  <c r="P90" i="5"/>
  <c r="N90"/>
  <c r="A91" i="1"/>
  <c r="P90"/>
  <c r="J90" i="4"/>
  <c r="I90"/>
  <c r="K90"/>
  <c r="F90"/>
  <c r="G90"/>
  <c r="H90"/>
  <c r="E90"/>
  <c r="D90"/>
  <c r="M91"/>
  <c r="A92"/>
  <c r="C91"/>
  <c r="A91" i="5"/>
  <c r="C90"/>
  <c r="D90"/>
  <c r="L89"/>
  <c r="I89"/>
  <c r="H89"/>
  <c r="E89"/>
  <c r="J89"/>
  <c r="G89"/>
  <c r="F89"/>
  <c r="K89"/>
  <c r="N92" i="4" l="1"/>
  <c r="B93"/>
  <c r="L92"/>
  <c r="P91" i="5"/>
  <c r="N91"/>
  <c r="P91" i="1"/>
  <c r="A92"/>
  <c r="J91" i="4"/>
  <c r="K91"/>
  <c r="I91"/>
  <c r="E91"/>
  <c r="D91"/>
  <c r="F91"/>
  <c r="G91"/>
  <c r="H91"/>
  <c r="M92"/>
  <c r="A93"/>
  <c r="N93" s="1"/>
  <c r="C92"/>
  <c r="J90" i="5"/>
  <c r="F90"/>
  <c r="H90"/>
  <c r="K90"/>
  <c r="I90"/>
  <c r="G90"/>
  <c r="E90"/>
  <c r="L90"/>
  <c r="A92"/>
  <c r="C91"/>
  <c r="D91"/>
  <c r="B94" i="4" l="1"/>
  <c r="L93"/>
  <c r="P92" i="5"/>
  <c r="N92"/>
  <c r="A93" i="1"/>
  <c r="P92"/>
  <c r="H92" i="4"/>
  <c r="K92"/>
  <c r="F92"/>
  <c r="E92"/>
  <c r="J92"/>
  <c r="D92"/>
  <c r="I92"/>
  <c r="G92"/>
  <c r="M93"/>
  <c r="A94"/>
  <c r="C93"/>
  <c r="A93" i="5"/>
  <c r="C92"/>
  <c r="D92"/>
  <c r="K91"/>
  <c r="G91"/>
  <c r="J91"/>
  <c r="E91"/>
  <c r="L91"/>
  <c r="H91"/>
  <c r="F91"/>
  <c r="I91"/>
  <c r="N94" i="4" l="1"/>
  <c r="B95"/>
  <c r="L94"/>
  <c r="P93" i="5"/>
  <c r="N93"/>
  <c r="P93" i="1"/>
  <c r="A94"/>
  <c r="K93" i="4"/>
  <c r="D93"/>
  <c r="H93"/>
  <c r="I93"/>
  <c r="J93"/>
  <c r="E93"/>
  <c r="F93"/>
  <c r="G93"/>
  <c r="M94"/>
  <c r="A95"/>
  <c r="N95" s="1"/>
  <c r="C94"/>
  <c r="H92" i="5"/>
  <c r="F92"/>
  <c r="G92"/>
  <c r="L92"/>
  <c r="J92"/>
  <c r="E92"/>
  <c r="I92"/>
  <c r="K92"/>
  <c r="A94"/>
  <c r="C93"/>
  <c r="D93"/>
  <c r="B96" i="4" l="1"/>
  <c r="L95"/>
  <c r="P94" i="5"/>
  <c r="N94"/>
  <c r="A95" i="1"/>
  <c r="P94"/>
  <c r="E94" i="4"/>
  <c r="H94"/>
  <c r="D94"/>
  <c r="G94"/>
  <c r="K94"/>
  <c r="I94"/>
  <c r="F94"/>
  <c r="J94"/>
  <c r="M95"/>
  <c r="A96"/>
  <c r="C95"/>
  <c r="A95" i="5"/>
  <c r="C94"/>
  <c r="D94"/>
  <c r="K93"/>
  <c r="G93"/>
  <c r="H93"/>
  <c r="F93"/>
  <c r="L93"/>
  <c r="J93"/>
  <c r="E93"/>
  <c r="I93"/>
  <c r="N96" i="4" l="1"/>
  <c r="B97"/>
  <c r="L96"/>
  <c r="P95" i="5"/>
  <c r="N95"/>
  <c r="P95" i="1"/>
  <c r="A96"/>
  <c r="H95" i="4"/>
  <c r="J95"/>
  <c r="F95"/>
  <c r="K95"/>
  <c r="G95"/>
  <c r="D95"/>
  <c r="E95"/>
  <c r="I95"/>
  <c r="M96"/>
  <c r="A97"/>
  <c r="N97" s="1"/>
  <c r="C96"/>
  <c r="H94" i="5"/>
  <c r="K94"/>
  <c r="J94"/>
  <c r="F94"/>
  <c r="L94"/>
  <c r="G94"/>
  <c r="E94"/>
  <c r="I94"/>
  <c r="A96"/>
  <c r="C95"/>
  <c r="D95"/>
  <c r="B98" i="4" l="1"/>
  <c r="L97"/>
  <c r="P96" i="5"/>
  <c r="N96"/>
  <c r="A97" i="1"/>
  <c r="P96"/>
  <c r="M97" i="4"/>
  <c r="A98"/>
  <c r="C97"/>
  <c r="G96"/>
  <c r="I96"/>
  <c r="D96"/>
  <c r="J96"/>
  <c r="E96"/>
  <c r="H96"/>
  <c r="K96"/>
  <c r="F96"/>
  <c r="J95" i="5"/>
  <c r="H95"/>
  <c r="L95"/>
  <c r="I95"/>
  <c r="G95"/>
  <c r="E95"/>
  <c r="K95"/>
  <c r="F95"/>
  <c r="A97"/>
  <c r="C96"/>
  <c r="D96"/>
  <c r="N98" i="4" l="1"/>
  <c r="B99"/>
  <c r="L98"/>
  <c r="P97" i="5"/>
  <c r="N97"/>
  <c r="P97" i="1"/>
  <c r="A98"/>
  <c r="H97" i="4"/>
  <c r="I97"/>
  <c r="F97"/>
  <c r="J97"/>
  <c r="E97"/>
  <c r="D97"/>
  <c r="G97"/>
  <c r="K97"/>
  <c r="M98"/>
  <c r="A99"/>
  <c r="N99" s="1"/>
  <c r="C98"/>
  <c r="I96" i="5"/>
  <c r="J96"/>
  <c r="L96"/>
  <c r="K96"/>
  <c r="H96"/>
  <c r="F96"/>
  <c r="G96"/>
  <c r="E96"/>
  <c r="A98"/>
  <c r="C97"/>
  <c r="D97"/>
  <c r="B100" i="4" l="1"/>
  <c r="L99"/>
  <c r="P98" i="5"/>
  <c r="N98"/>
  <c r="A99" i="1"/>
  <c r="P98"/>
  <c r="K98" i="4"/>
  <c r="F98"/>
  <c r="I98"/>
  <c r="D98"/>
  <c r="E98"/>
  <c r="J98"/>
  <c r="G98"/>
  <c r="H98"/>
  <c r="M99"/>
  <c r="A100"/>
  <c r="C99"/>
  <c r="A99" i="5"/>
  <c r="C98"/>
  <c r="D98"/>
  <c r="H97"/>
  <c r="J97"/>
  <c r="E97"/>
  <c r="K97"/>
  <c r="G97"/>
  <c r="L97"/>
  <c r="I97"/>
  <c r="F97"/>
  <c r="N100" i="4" l="1"/>
  <c r="B101"/>
  <c r="L100"/>
  <c r="P99" i="5"/>
  <c r="N99"/>
  <c r="P99" i="1"/>
  <c r="A100"/>
  <c r="K99" i="4"/>
  <c r="E99"/>
  <c r="H99"/>
  <c r="I99"/>
  <c r="F99"/>
  <c r="G99"/>
  <c r="D99"/>
  <c r="J99"/>
  <c r="M100"/>
  <c r="A101"/>
  <c r="N101" s="1"/>
  <c r="C100"/>
  <c r="J98" i="5"/>
  <c r="F98"/>
  <c r="L98"/>
  <c r="H98"/>
  <c r="K98"/>
  <c r="G98"/>
  <c r="E98"/>
  <c r="I98"/>
  <c r="A100"/>
  <c r="C99"/>
  <c r="D99"/>
  <c r="B102" i="4" l="1"/>
  <c r="L101"/>
  <c r="P100" i="5"/>
  <c r="N100"/>
  <c r="A101" i="1"/>
  <c r="P100"/>
  <c r="J100" i="4"/>
  <c r="K100"/>
  <c r="E100"/>
  <c r="D100"/>
  <c r="H100"/>
  <c r="F100"/>
  <c r="G100"/>
  <c r="I100"/>
  <c r="M101"/>
  <c r="A102"/>
  <c r="C101"/>
  <c r="L99" i="5"/>
  <c r="I99"/>
  <c r="J99"/>
  <c r="F99"/>
  <c r="E99"/>
  <c r="K99"/>
  <c r="G99"/>
  <c r="H99"/>
  <c r="A101"/>
  <c r="C100"/>
  <c r="D100"/>
  <c r="N102" i="4" l="1"/>
  <c r="B103"/>
  <c r="L102"/>
  <c r="P101" i="5"/>
  <c r="N101"/>
  <c r="P101" i="1"/>
  <c r="A102"/>
  <c r="G101" i="4"/>
  <c r="K101"/>
  <c r="I101"/>
  <c r="F101"/>
  <c r="H101"/>
  <c r="J101"/>
  <c r="E101"/>
  <c r="D101"/>
  <c r="M102"/>
  <c r="A103"/>
  <c r="N103" s="1"/>
  <c r="C102"/>
  <c r="J100" i="5"/>
  <c r="L100"/>
  <c r="F100"/>
  <c r="K100"/>
  <c r="G100"/>
  <c r="I100"/>
  <c r="H100"/>
  <c r="E100"/>
  <c r="A102"/>
  <c r="C101"/>
  <c r="D101"/>
  <c r="B104" i="4" l="1"/>
  <c r="L103"/>
  <c r="P102" i="5"/>
  <c r="N102"/>
  <c r="A103" i="1"/>
  <c r="P102"/>
  <c r="K102" i="4"/>
  <c r="D102"/>
  <c r="I102"/>
  <c r="G102"/>
  <c r="E102"/>
  <c r="F102"/>
  <c r="J102"/>
  <c r="H102"/>
  <c r="M103"/>
  <c r="A104"/>
  <c r="C103"/>
  <c r="A103" i="5"/>
  <c r="C102"/>
  <c r="D102"/>
  <c r="G101"/>
  <c r="I101"/>
  <c r="F101"/>
  <c r="K101"/>
  <c r="L101"/>
  <c r="J101"/>
  <c r="E101"/>
  <c r="H101"/>
  <c r="N104" i="4" l="1"/>
  <c r="B105"/>
  <c r="L104"/>
  <c r="P103" i="5"/>
  <c r="N103"/>
  <c r="P103" i="1"/>
  <c r="A104"/>
  <c r="M104" i="4"/>
  <c r="A105"/>
  <c r="N105" s="1"/>
  <c r="C104"/>
  <c r="D103"/>
  <c r="E103"/>
  <c r="J103"/>
  <c r="K103"/>
  <c r="H103"/>
  <c r="F103"/>
  <c r="G103"/>
  <c r="I103"/>
  <c r="J102" i="5"/>
  <c r="F102"/>
  <c r="G102"/>
  <c r="H102"/>
  <c r="K102"/>
  <c r="I102"/>
  <c r="L102"/>
  <c r="E102"/>
  <c r="A104"/>
  <c r="C103"/>
  <c r="D103"/>
  <c r="B106" i="4" l="1"/>
  <c r="L105"/>
  <c r="P104" i="5"/>
  <c r="N104"/>
  <c r="A105" i="1"/>
  <c r="P104"/>
  <c r="E104" i="4"/>
  <c r="I104"/>
  <c r="D104"/>
  <c r="H104"/>
  <c r="K104"/>
  <c r="F104"/>
  <c r="J104"/>
  <c r="G104"/>
  <c r="M105"/>
  <c r="A106"/>
  <c r="C105"/>
  <c r="K103" i="5"/>
  <c r="F103"/>
  <c r="E103"/>
  <c r="I103"/>
  <c r="H103"/>
  <c r="J103"/>
  <c r="G103"/>
  <c r="L103"/>
  <c r="A105"/>
  <c r="C104"/>
  <c r="D104"/>
  <c r="N106" i="4" l="1"/>
  <c r="B107"/>
  <c r="L106"/>
  <c r="P105" i="5"/>
  <c r="N105"/>
  <c r="P105" i="1"/>
  <c r="A106"/>
  <c r="K105" i="4"/>
  <c r="J105"/>
  <c r="F105"/>
  <c r="G105"/>
  <c r="H105"/>
  <c r="I105"/>
  <c r="D105"/>
  <c r="E105"/>
  <c r="M106"/>
  <c r="A107"/>
  <c r="C106"/>
  <c r="I104" i="5"/>
  <c r="K104"/>
  <c r="H104"/>
  <c r="J104"/>
  <c r="L104"/>
  <c r="E104"/>
  <c r="F104"/>
  <c r="G104"/>
  <c r="A106"/>
  <c r="C105"/>
  <c r="D105"/>
  <c r="N107" i="4" l="1"/>
  <c r="B108"/>
  <c r="L107"/>
  <c r="P106" i="5"/>
  <c r="N106"/>
  <c r="A107" i="1"/>
  <c r="P106"/>
  <c r="E106" i="4"/>
  <c r="I106"/>
  <c r="J106"/>
  <c r="H106"/>
  <c r="D106"/>
  <c r="G106"/>
  <c r="F106"/>
  <c r="K106"/>
  <c r="M107"/>
  <c r="A108"/>
  <c r="C107"/>
  <c r="I105" i="5"/>
  <c r="L105"/>
  <c r="H105"/>
  <c r="G105"/>
  <c r="F105"/>
  <c r="J105"/>
  <c r="E105"/>
  <c r="K105"/>
  <c r="A107"/>
  <c r="C106"/>
  <c r="D106"/>
  <c r="N108" i="4" l="1"/>
  <c r="B109"/>
  <c r="L108"/>
  <c r="P107" i="5"/>
  <c r="N107"/>
  <c r="P107" i="1"/>
  <c r="A108"/>
  <c r="K107" i="4"/>
  <c r="H107"/>
  <c r="D107"/>
  <c r="E107"/>
  <c r="I107"/>
  <c r="F107"/>
  <c r="J107"/>
  <c r="G107"/>
  <c r="M108"/>
  <c r="A109"/>
  <c r="N109" s="1"/>
  <c r="C108"/>
  <c r="L106" i="5"/>
  <c r="H106"/>
  <c r="G106"/>
  <c r="K106"/>
  <c r="I106"/>
  <c r="F106"/>
  <c r="E106"/>
  <c r="J106"/>
  <c r="A108"/>
  <c r="C107"/>
  <c r="D107"/>
  <c r="B110" i="4" l="1"/>
  <c r="L109"/>
  <c r="P108" i="5"/>
  <c r="N108"/>
  <c r="A109" i="1"/>
  <c r="P108"/>
  <c r="D108" i="4"/>
  <c r="F108"/>
  <c r="J108"/>
  <c r="H108"/>
  <c r="G108"/>
  <c r="K108"/>
  <c r="E108"/>
  <c r="I108"/>
  <c r="M109"/>
  <c r="A110"/>
  <c r="C109"/>
  <c r="A109" i="5"/>
  <c r="C108"/>
  <c r="D108"/>
  <c r="L107"/>
  <c r="H107"/>
  <c r="I107"/>
  <c r="E107"/>
  <c r="K107"/>
  <c r="G107"/>
  <c r="F107"/>
  <c r="J107"/>
  <c r="N110" i="4" l="1"/>
  <c r="B111"/>
  <c r="L110"/>
  <c r="P109" i="5"/>
  <c r="N109"/>
  <c r="P109" i="1"/>
  <c r="A110"/>
  <c r="G109" i="4"/>
  <c r="I109"/>
  <c r="J109"/>
  <c r="D109"/>
  <c r="F109"/>
  <c r="H109"/>
  <c r="K109"/>
  <c r="E109"/>
  <c r="M110"/>
  <c r="A111"/>
  <c r="N111" s="1"/>
  <c r="C110"/>
  <c r="J108" i="5"/>
  <c r="L108"/>
  <c r="G108"/>
  <c r="I108"/>
  <c r="K108"/>
  <c r="F108"/>
  <c r="E108"/>
  <c r="H108"/>
  <c r="A110"/>
  <c r="C109"/>
  <c r="D109"/>
  <c r="B112" i="4" l="1"/>
  <c r="L111"/>
  <c r="P110" i="5"/>
  <c r="N110"/>
  <c r="A111" i="1"/>
  <c r="P110"/>
  <c r="K110" i="4"/>
  <c r="J110"/>
  <c r="G110"/>
  <c r="D110"/>
  <c r="E110"/>
  <c r="H110"/>
  <c r="F110"/>
  <c r="I110"/>
  <c r="M111"/>
  <c r="A112"/>
  <c r="C111"/>
  <c r="K109" i="5"/>
  <c r="G109"/>
  <c r="J109"/>
  <c r="E109"/>
  <c r="F109"/>
  <c r="I109"/>
  <c r="H109"/>
  <c r="L109"/>
  <c r="A111"/>
  <c r="C110"/>
  <c r="D110"/>
  <c r="N112" i="4" l="1"/>
  <c r="B113"/>
  <c r="L112"/>
  <c r="P111" i="5"/>
  <c r="N111"/>
  <c r="P111" i="1"/>
  <c r="A112"/>
  <c r="F111" i="4"/>
  <c r="G111"/>
  <c r="J111"/>
  <c r="I111"/>
  <c r="D111"/>
  <c r="K111"/>
  <c r="E111"/>
  <c r="H111"/>
  <c r="M112"/>
  <c r="A113"/>
  <c r="N113" s="1"/>
  <c r="C112"/>
  <c r="L110" i="5"/>
  <c r="J110"/>
  <c r="I110"/>
  <c r="G110"/>
  <c r="F110"/>
  <c r="E110"/>
  <c r="H110"/>
  <c r="K110"/>
  <c r="A112"/>
  <c r="C111"/>
  <c r="D111"/>
  <c r="B114" i="4" l="1"/>
  <c r="L113"/>
  <c r="P112" i="5"/>
  <c r="N112"/>
  <c r="A113" i="1"/>
  <c r="P112"/>
  <c r="F112" i="4"/>
  <c r="D112"/>
  <c r="H112"/>
  <c r="J112"/>
  <c r="G112"/>
  <c r="I112"/>
  <c r="E112"/>
  <c r="K112"/>
  <c r="M113"/>
  <c r="A114"/>
  <c r="C113"/>
  <c r="K111" i="5"/>
  <c r="G111"/>
  <c r="H111"/>
  <c r="I111"/>
  <c r="J111"/>
  <c r="E111"/>
  <c r="F111"/>
  <c r="L111"/>
  <c r="A113"/>
  <c r="C112"/>
  <c r="D112"/>
  <c r="N114" i="4" l="1"/>
  <c r="B115"/>
  <c r="L114"/>
  <c r="P113" i="5"/>
  <c r="N113"/>
  <c r="P113" i="1"/>
  <c r="A114"/>
  <c r="G113" i="4"/>
  <c r="H113"/>
  <c r="D113"/>
  <c r="J113"/>
  <c r="F113"/>
  <c r="K113"/>
  <c r="I113"/>
  <c r="E113"/>
  <c r="M114"/>
  <c r="A115"/>
  <c r="N115" s="1"/>
  <c r="C114"/>
  <c r="I112" i="5"/>
  <c r="K112"/>
  <c r="J112"/>
  <c r="H112"/>
  <c r="L112"/>
  <c r="G112"/>
  <c r="E112"/>
  <c r="F112"/>
  <c r="A114"/>
  <c r="C113"/>
  <c r="D113"/>
  <c r="B116" i="4" l="1"/>
  <c r="L115"/>
  <c r="P114" i="5"/>
  <c r="N114"/>
  <c r="A115" i="1"/>
  <c r="P114"/>
  <c r="M115" i="4"/>
  <c r="A116"/>
  <c r="C115"/>
  <c r="H114"/>
  <c r="D114"/>
  <c r="E114"/>
  <c r="G114"/>
  <c r="F114"/>
  <c r="K114"/>
  <c r="I114"/>
  <c r="J114"/>
  <c r="I113" i="5"/>
  <c r="J113"/>
  <c r="L113"/>
  <c r="F113"/>
  <c r="E113"/>
  <c r="H113"/>
  <c r="G113"/>
  <c r="K113"/>
  <c r="A115"/>
  <c r="C114"/>
  <c r="D114"/>
  <c r="N116" i="4" l="1"/>
  <c r="B117"/>
  <c r="L116"/>
  <c r="P115" i="5"/>
  <c r="N115"/>
  <c r="P115" i="1"/>
  <c r="A116"/>
  <c r="K115" i="4"/>
  <c r="D115"/>
  <c r="E115"/>
  <c r="H115"/>
  <c r="F115"/>
  <c r="I115"/>
  <c r="G115"/>
  <c r="J115"/>
  <c r="M116"/>
  <c r="A117"/>
  <c r="N117" s="1"/>
  <c r="C116"/>
  <c r="H114" i="5"/>
  <c r="K114"/>
  <c r="G114"/>
  <c r="F114"/>
  <c r="J114"/>
  <c r="I114"/>
  <c r="L114"/>
  <c r="E114"/>
  <c r="A116"/>
  <c r="C115"/>
  <c r="D115"/>
  <c r="B118" i="4" l="1"/>
  <c r="L117"/>
  <c r="P116" i="5"/>
  <c r="N116"/>
  <c r="A117" i="1"/>
  <c r="P116"/>
  <c r="F116" i="4"/>
  <c r="G116"/>
  <c r="H116"/>
  <c r="E116"/>
  <c r="I116"/>
  <c r="D116"/>
  <c r="J116"/>
  <c r="K116"/>
  <c r="M117"/>
  <c r="A118"/>
  <c r="C117"/>
  <c r="F115" i="5"/>
  <c r="K115"/>
  <c r="E115"/>
  <c r="L115"/>
  <c r="H115"/>
  <c r="J115"/>
  <c r="G115"/>
  <c r="I115"/>
  <c r="A117"/>
  <c r="C116"/>
  <c r="D116"/>
  <c r="N118" i="4" l="1"/>
  <c r="B119"/>
  <c r="L118"/>
  <c r="P117" i="5"/>
  <c r="N117"/>
  <c r="P117" i="1"/>
  <c r="A118"/>
  <c r="J117" i="4"/>
  <c r="G117"/>
  <c r="E117"/>
  <c r="K117"/>
  <c r="D117"/>
  <c r="I117"/>
  <c r="F117"/>
  <c r="H117"/>
  <c r="M118"/>
  <c r="A119"/>
  <c r="N119" s="1"/>
  <c r="C118"/>
  <c r="F116" i="5"/>
  <c r="G116"/>
  <c r="J116"/>
  <c r="H116"/>
  <c r="L116"/>
  <c r="I116"/>
  <c r="K116"/>
  <c r="E116"/>
  <c r="A118"/>
  <c r="C117"/>
  <c r="D117"/>
  <c r="B120" i="4" l="1"/>
  <c r="L119"/>
  <c r="P118" i="5"/>
  <c r="N118"/>
  <c r="A119" i="1"/>
  <c r="P118"/>
  <c r="H118" i="4"/>
  <c r="K118"/>
  <c r="G118"/>
  <c r="F118"/>
  <c r="J118"/>
  <c r="I118"/>
  <c r="E118"/>
  <c r="D118"/>
  <c r="M119"/>
  <c r="A120"/>
  <c r="C119"/>
  <c r="A119" i="5"/>
  <c r="C118"/>
  <c r="D118"/>
  <c r="F117"/>
  <c r="K117"/>
  <c r="H117"/>
  <c r="J117"/>
  <c r="G117"/>
  <c r="L117"/>
  <c r="E117"/>
  <c r="I117"/>
  <c r="N120" i="4" l="1"/>
  <c r="B121"/>
  <c r="L120"/>
  <c r="P119" i="5"/>
  <c r="N119"/>
  <c r="P119" i="1"/>
  <c r="A120"/>
  <c r="F119" i="4"/>
  <c r="J119"/>
  <c r="K119"/>
  <c r="D119"/>
  <c r="G119"/>
  <c r="E119"/>
  <c r="H119"/>
  <c r="I119"/>
  <c r="M120"/>
  <c r="A121"/>
  <c r="N121" s="1"/>
  <c r="C120"/>
  <c r="I118" i="5"/>
  <c r="G118"/>
  <c r="F118"/>
  <c r="L118"/>
  <c r="J118"/>
  <c r="K118"/>
  <c r="E118"/>
  <c r="H118"/>
  <c r="A120"/>
  <c r="C119"/>
  <c r="D119"/>
  <c r="B122" i="4" l="1"/>
  <c r="L121"/>
  <c r="P120" i="5"/>
  <c r="N120"/>
  <c r="A121" i="1"/>
  <c r="P120"/>
  <c r="G120" i="4"/>
  <c r="E120"/>
  <c r="H120"/>
  <c r="J120"/>
  <c r="I120"/>
  <c r="F120"/>
  <c r="D120"/>
  <c r="K120"/>
  <c r="M121"/>
  <c r="A122"/>
  <c r="C121"/>
  <c r="F119" i="5"/>
  <c r="G119"/>
  <c r="I119"/>
  <c r="K119"/>
  <c r="H119"/>
  <c r="E119"/>
  <c r="L119"/>
  <c r="J119"/>
  <c r="A121"/>
  <c r="C120"/>
  <c r="D120"/>
  <c r="N122" i="4" l="1"/>
  <c r="B123"/>
  <c r="L122"/>
  <c r="P121" i="5"/>
  <c r="N121"/>
  <c r="P121" i="1"/>
  <c r="A122"/>
  <c r="M122" i="4"/>
  <c r="A123"/>
  <c r="N123" s="1"/>
  <c r="C122"/>
  <c r="E121"/>
  <c r="D121"/>
  <c r="H121"/>
  <c r="F121"/>
  <c r="J121"/>
  <c r="G121"/>
  <c r="I121"/>
  <c r="K121"/>
  <c r="H120" i="5"/>
  <c r="I120"/>
  <c r="F120"/>
  <c r="K120"/>
  <c r="G120"/>
  <c r="E120"/>
  <c r="J120"/>
  <c r="L120"/>
  <c r="A122"/>
  <c r="C121"/>
  <c r="D121"/>
  <c r="B124" i="4" l="1"/>
  <c r="L123"/>
  <c r="P122" i="5"/>
  <c r="N122"/>
  <c r="A123" i="1"/>
  <c r="P122"/>
  <c r="I122" i="4"/>
  <c r="H122"/>
  <c r="K122"/>
  <c r="J122"/>
  <c r="E122"/>
  <c r="F122"/>
  <c r="D122"/>
  <c r="G122"/>
  <c r="M123"/>
  <c r="A124"/>
  <c r="C123"/>
  <c r="H121" i="5"/>
  <c r="J121"/>
  <c r="E121"/>
  <c r="K121"/>
  <c r="G121"/>
  <c r="L121"/>
  <c r="I121"/>
  <c r="F121"/>
  <c r="A123"/>
  <c r="C122"/>
  <c r="D122"/>
  <c r="N124" i="4" l="1"/>
  <c r="B125"/>
  <c r="L124"/>
  <c r="P123" i="5"/>
  <c r="N123"/>
  <c r="P123" i="1"/>
  <c r="A124"/>
  <c r="E123" i="4"/>
  <c r="H123"/>
  <c r="D123"/>
  <c r="I123"/>
  <c r="G123"/>
  <c r="J123"/>
  <c r="F123"/>
  <c r="K123"/>
  <c r="M124"/>
  <c r="A125"/>
  <c r="N125" s="1"/>
  <c r="C124"/>
  <c r="J122" i="5"/>
  <c r="F122"/>
  <c r="L122"/>
  <c r="H122"/>
  <c r="G122"/>
  <c r="I122"/>
  <c r="K122"/>
  <c r="E122"/>
  <c r="A124"/>
  <c r="C123"/>
  <c r="D123"/>
  <c r="B126" i="4" l="1"/>
  <c r="L125"/>
  <c r="P124" i="5"/>
  <c r="N124"/>
  <c r="A125" i="1"/>
  <c r="P124"/>
  <c r="M125" i="4"/>
  <c r="A126"/>
  <c r="C125"/>
  <c r="H124"/>
  <c r="F124"/>
  <c r="D124"/>
  <c r="G124"/>
  <c r="E124"/>
  <c r="K124"/>
  <c r="J124"/>
  <c r="I124"/>
  <c r="G123" i="5"/>
  <c r="J123"/>
  <c r="I123"/>
  <c r="E123"/>
  <c r="F123"/>
  <c r="H123"/>
  <c r="K123"/>
  <c r="L123"/>
  <c r="A125"/>
  <c r="C124"/>
  <c r="D124"/>
  <c r="N126" i="4" l="1"/>
  <c r="B127"/>
  <c r="L126"/>
  <c r="P125" i="5"/>
  <c r="N125"/>
  <c r="P125" i="1"/>
  <c r="A126"/>
  <c r="I125" i="4"/>
  <c r="K125"/>
  <c r="H125"/>
  <c r="J125"/>
  <c r="E125"/>
  <c r="F125"/>
  <c r="G125"/>
  <c r="D125"/>
  <c r="M126"/>
  <c r="A127"/>
  <c r="N127" s="1"/>
  <c r="C126"/>
  <c r="L124" i="5"/>
  <c r="J124"/>
  <c r="I124"/>
  <c r="G124"/>
  <c r="F124"/>
  <c r="H124"/>
  <c r="K124"/>
  <c r="E124"/>
  <c r="A126"/>
  <c r="C125"/>
  <c r="D125"/>
  <c r="B128" i="4" l="1"/>
  <c r="L127"/>
  <c r="P126" i="5"/>
  <c r="N126"/>
  <c r="A127" i="1"/>
  <c r="P126"/>
  <c r="F126" i="4"/>
  <c r="J126"/>
  <c r="H126"/>
  <c r="G126"/>
  <c r="I126"/>
  <c r="D126"/>
  <c r="K126"/>
  <c r="E126"/>
  <c r="M127"/>
  <c r="A128"/>
  <c r="C127"/>
  <c r="H125" i="5"/>
  <c r="J125"/>
  <c r="E125"/>
  <c r="I125"/>
  <c r="F125"/>
  <c r="K125"/>
  <c r="L125"/>
  <c r="G125"/>
  <c r="A127"/>
  <c r="C126"/>
  <c r="D126"/>
  <c r="N128" i="4" l="1"/>
  <c r="B129"/>
  <c r="L128"/>
  <c r="P127" i="5"/>
  <c r="N127"/>
  <c r="P127" i="1"/>
  <c r="A128"/>
  <c r="E127" i="4"/>
  <c r="D127"/>
  <c r="F127"/>
  <c r="J127"/>
  <c r="K127"/>
  <c r="G127"/>
  <c r="I127"/>
  <c r="H127"/>
  <c r="M128"/>
  <c r="A129"/>
  <c r="N129" s="1"/>
  <c r="C128"/>
  <c r="G126" i="5"/>
  <c r="I126"/>
  <c r="K126"/>
  <c r="L126"/>
  <c r="J126"/>
  <c r="H126"/>
  <c r="F126"/>
  <c r="E126"/>
  <c r="A128"/>
  <c r="C127"/>
  <c r="D127"/>
  <c r="B130" i="4" l="1"/>
  <c r="L129"/>
  <c r="P128" i="5"/>
  <c r="N128"/>
  <c r="A129" i="1"/>
  <c r="P128"/>
  <c r="F128" i="4"/>
  <c r="E128"/>
  <c r="G128"/>
  <c r="I128"/>
  <c r="K128"/>
  <c r="H128"/>
  <c r="D128"/>
  <c r="J128"/>
  <c r="M129"/>
  <c r="A130"/>
  <c r="C129"/>
  <c r="A129" i="5"/>
  <c r="C128"/>
  <c r="D128"/>
  <c r="L127"/>
  <c r="I127"/>
  <c r="J127"/>
  <c r="G127"/>
  <c r="H127"/>
  <c r="E127"/>
  <c r="F127"/>
  <c r="K127"/>
  <c r="N130" i="4" l="1"/>
  <c r="B131"/>
  <c r="B132" s="1"/>
  <c r="L130"/>
  <c r="P129" i="5"/>
  <c r="N129"/>
  <c r="P129" i="1"/>
  <c r="J129" i="4"/>
  <c r="K129"/>
  <c r="D129"/>
  <c r="H129"/>
  <c r="G129"/>
  <c r="F129"/>
  <c r="I129"/>
  <c r="E129"/>
  <c r="M130"/>
  <c r="A131"/>
  <c r="C130"/>
  <c r="K128" i="5"/>
  <c r="F128"/>
  <c r="H128"/>
  <c r="I128"/>
  <c r="J128"/>
  <c r="E128"/>
  <c r="G128"/>
  <c r="L128"/>
  <c r="A130"/>
  <c r="C129"/>
  <c r="D129"/>
  <c r="N131" i="4" l="1"/>
  <c r="A132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M132"/>
  <c r="B133"/>
  <c r="N132"/>
  <c r="C132"/>
  <c r="L132"/>
  <c r="L131"/>
  <c r="P130" i="5"/>
  <c r="N130"/>
  <c r="K130" i="4"/>
  <c r="J130"/>
  <c r="H130"/>
  <c r="I130"/>
  <c r="F130"/>
  <c r="D130"/>
  <c r="E130"/>
  <c r="G130"/>
  <c r="M131"/>
  <c r="C131"/>
  <c r="C130" i="5"/>
  <c r="D130"/>
  <c r="J129"/>
  <c r="H129"/>
  <c r="K129"/>
  <c r="L129"/>
  <c r="G129"/>
  <c r="E129"/>
  <c r="F129"/>
  <c r="I129"/>
  <c r="D132" i="4" l="1"/>
  <c r="I132"/>
  <c r="K132"/>
  <c r="J132"/>
  <c r="E132"/>
  <c r="G132"/>
  <c r="H132"/>
  <c r="F132"/>
  <c r="M133"/>
  <c r="B134"/>
  <c r="N133"/>
  <c r="C133"/>
  <c r="L133"/>
  <c r="G131"/>
  <c r="E131"/>
  <c r="I131"/>
  <c r="K131"/>
  <c r="F131"/>
  <c r="J131"/>
  <c r="D131"/>
  <c r="H131"/>
  <c r="K130" i="5"/>
  <c r="L130"/>
  <c r="I130"/>
  <c r="G130"/>
  <c r="F130"/>
  <c r="E130"/>
  <c r="J130"/>
  <c r="H130"/>
  <c r="C26" i="1"/>
  <c r="C17" s="1"/>
  <c r="D133" i="4" l="1"/>
  <c r="I133"/>
  <c r="K133"/>
  <c r="F133"/>
  <c r="E133"/>
  <c r="G133"/>
  <c r="J133"/>
  <c r="H133"/>
  <c r="M134"/>
  <c r="B135"/>
  <c r="N134"/>
  <c r="C134"/>
  <c r="L134"/>
  <c r="M52" i="1"/>
  <c r="M54"/>
  <c r="M56"/>
  <c r="N56" s="1"/>
  <c r="M58"/>
  <c r="M60"/>
  <c r="M62"/>
  <c r="M64"/>
  <c r="M66"/>
  <c r="M68"/>
  <c r="N68" s="1"/>
  <c r="M70"/>
  <c r="M72"/>
  <c r="N72" s="1"/>
  <c r="M74"/>
  <c r="M76"/>
  <c r="M78"/>
  <c r="M80"/>
  <c r="M82"/>
  <c r="M84"/>
  <c r="N84" s="1"/>
  <c r="M86"/>
  <c r="M88"/>
  <c r="M90"/>
  <c r="M92"/>
  <c r="M94"/>
  <c r="M96"/>
  <c r="M98"/>
  <c r="M100"/>
  <c r="N100" s="1"/>
  <c r="M102"/>
  <c r="M104"/>
  <c r="N104" s="1"/>
  <c r="M106"/>
  <c r="M108"/>
  <c r="N108" s="1"/>
  <c r="M110"/>
  <c r="M112"/>
  <c r="M114"/>
  <c r="M116"/>
  <c r="N116" s="1"/>
  <c r="M118"/>
  <c r="M120"/>
  <c r="N120" s="1"/>
  <c r="M122"/>
  <c r="M124"/>
  <c r="N124" s="1"/>
  <c r="M126"/>
  <c r="M128"/>
  <c r="M49"/>
  <c r="M51"/>
  <c r="N51" s="1"/>
  <c r="M53"/>
  <c r="M55"/>
  <c r="N55" s="1"/>
  <c r="M57"/>
  <c r="M59"/>
  <c r="N59" s="1"/>
  <c r="M61"/>
  <c r="M63"/>
  <c r="M65"/>
  <c r="M67"/>
  <c r="N67" s="1"/>
  <c r="M69"/>
  <c r="M71"/>
  <c r="N71" s="1"/>
  <c r="M73"/>
  <c r="M75"/>
  <c r="N75" s="1"/>
  <c r="M77"/>
  <c r="M79"/>
  <c r="M81"/>
  <c r="M83"/>
  <c r="N83" s="1"/>
  <c r="M85"/>
  <c r="M87"/>
  <c r="N87" s="1"/>
  <c r="M89"/>
  <c r="M91"/>
  <c r="N91" s="1"/>
  <c r="M93"/>
  <c r="M95"/>
  <c r="M97"/>
  <c r="M99"/>
  <c r="N99" s="1"/>
  <c r="M101"/>
  <c r="M103"/>
  <c r="N103" s="1"/>
  <c r="M105"/>
  <c r="M107"/>
  <c r="N107" s="1"/>
  <c r="M109"/>
  <c r="M111"/>
  <c r="M113"/>
  <c r="M115"/>
  <c r="N115" s="1"/>
  <c r="M117"/>
  <c r="M119"/>
  <c r="N119" s="1"/>
  <c r="M121"/>
  <c r="M123"/>
  <c r="N123" s="1"/>
  <c r="M125"/>
  <c r="M127"/>
  <c r="M129"/>
  <c r="M50"/>
  <c r="N50" s="1"/>
  <c r="N65"/>
  <c r="C16"/>
  <c r="N53"/>
  <c r="N69"/>
  <c r="N85"/>
  <c r="N101"/>
  <c r="N117"/>
  <c r="N52"/>
  <c r="N58"/>
  <c r="N66"/>
  <c r="N74"/>
  <c r="N82"/>
  <c r="N90"/>
  <c r="N98"/>
  <c r="N106"/>
  <c r="N114"/>
  <c r="N122"/>
  <c r="N57"/>
  <c r="N73"/>
  <c r="N89"/>
  <c r="N105"/>
  <c r="N121"/>
  <c r="N88"/>
  <c r="N54"/>
  <c r="N70"/>
  <c r="N86"/>
  <c r="N102"/>
  <c r="N118"/>
  <c r="D134" i="4" l="1"/>
  <c r="I134"/>
  <c r="K134"/>
  <c r="F134"/>
  <c r="E134"/>
  <c r="G134"/>
  <c r="J134"/>
  <c r="H134"/>
  <c r="M135"/>
  <c r="B136"/>
  <c r="N135"/>
  <c r="C135"/>
  <c r="L135"/>
  <c r="N92" i="1"/>
  <c r="N76"/>
  <c r="N60"/>
  <c r="N125"/>
  <c r="N109"/>
  <c r="N93"/>
  <c r="N77"/>
  <c r="N61"/>
  <c r="N126"/>
  <c r="N110"/>
  <c r="N94"/>
  <c r="N78"/>
  <c r="N62"/>
  <c r="N127"/>
  <c r="N111"/>
  <c r="N95"/>
  <c r="N79"/>
  <c r="N63"/>
  <c r="N128"/>
  <c r="N112"/>
  <c r="N96"/>
  <c r="N80"/>
  <c r="N64"/>
  <c r="N129"/>
  <c r="N113"/>
  <c r="N97"/>
  <c r="N81"/>
  <c r="L49"/>
  <c r="C49"/>
  <c r="D49" s="1"/>
  <c r="E49" s="1"/>
  <c r="F49" s="1"/>
  <c r="G49" s="1"/>
  <c r="H49" s="1"/>
  <c r="I49" s="1"/>
  <c r="J49" s="1"/>
  <c r="K49" s="1"/>
  <c r="C50"/>
  <c r="D50" s="1"/>
  <c r="E50" s="1"/>
  <c r="F50" s="1"/>
  <c r="G50" s="1"/>
  <c r="H50" s="1"/>
  <c r="I50" s="1"/>
  <c r="J50" s="1"/>
  <c r="K50" s="1"/>
  <c r="C51"/>
  <c r="D51" s="1"/>
  <c r="E51" s="1"/>
  <c r="F51" s="1"/>
  <c r="G51" s="1"/>
  <c r="H51" s="1"/>
  <c r="I51" s="1"/>
  <c r="J51" s="1"/>
  <c r="K51" s="1"/>
  <c r="L51"/>
  <c r="L50"/>
  <c r="C52"/>
  <c r="D52" s="1"/>
  <c r="E52" s="1"/>
  <c r="F52" s="1"/>
  <c r="G52" s="1"/>
  <c r="H52" s="1"/>
  <c r="I52" s="1"/>
  <c r="J52" s="1"/>
  <c r="K52" s="1"/>
  <c r="L52"/>
  <c r="C53"/>
  <c r="D53" s="1"/>
  <c r="E53" s="1"/>
  <c r="F53" s="1"/>
  <c r="G53" s="1"/>
  <c r="H53" s="1"/>
  <c r="I53" s="1"/>
  <c r="J53" s="1"/>
  <c r="K53" s="1"/>
  <c r="L53"/>
  <c r="C54"/>
  <c r="D54" s="1"/>
  <c r="E54" s="1"/>
  <c r="F54" s="1"/>
  <c r="G54" s="1"/>
  <c r="H54" s="1"/>
  <c r="I54" s="1"/>
  <c r="J54" s="1"/>
  <c r="K54" s="1"/>
  <c r="L54"/>
  <c r="C55"/>
  <c r="D55" s="1"/>
  <c r="E55" s="1"/>
  <c r="F55" s="1"/>
  <c r="G55" s="1"/>
  <c r="H55" s="1"/>
  <c r="I55" s="1"/>
  <c r="J55" s="1"/>
  <c r="K55" s="1"/>
  <c r="L55"/>
  <c r="C56"/>
  <c r="D56" s="1"/>
  <c r="E56" s="1"/>
  <c r="F56" s="1"/>
  <c r="G56" s="1"/>
  <c r="H56" s="1"/>
  <c r="I56" s="1"/>
  <c r="J56" s="1"/>
  <c r="K56" s="1"/>
  <c r="L56"/>
  <c r="C57"/>
  <c r="D57" s="1"/>
  <c r="E57" s="1"/>
  <c r="F57" s="1"/>
  <c r="G57" s="1"/>
  <c r="H57" s="1"/>
  <c r="I57" s="1"/>
  <c r="J57" s="1"/>
  <c r="K57" s="1"/>
  <c r="L57"/>
  <c r="C58"/>
  <c r="D58" s="1"/>
  <c r="E58" s="1"/>
  <c r="F58" s="1"/>
  <c r="G58" s="1"/>
  <c r="H58" s="1"/>
  <c r="I58" s="1"/>
  <c r="J58" s="1"/>
  <c r="K58" s="1"/>
  <c r="L58"/>
  <c r="C59"/>
  <c r="D59" s="1"/>
  <c r="E59" s="1"/>
  <c r="F59" s="1"/>
  <c r="G59" s="1"/>
  <c r="H59" s="1"/>
  <c r="I59" s="1"/>
  <c r="J59" s="1"/>
  <c r="K59" s="1"/>
  <c r="L59"/>
  <c r="L60"/>
  <c r="C60"/>
  <c r="D60" s="1"/>
  <c r="E60" s="1"/>
  <c r="F60" s="1"/>
  <c r="G60" s="1"/>
  <c r="H60" s="1"/>
  <c r="I60" s="1"/>
  <c r="J60" s="1"/>
  <c r="K60" s="1"/>
  <c r="C61"/>
  <c r="D61" s="1"/>
  <c r="E61" s="1"/>
  <c r="F61" s="1"/>
  <c r="G61" s="1"/>
  <c r="H61" s="1"/>
  <c r="I61" s="1"/>
  <c r="J61" s="1"/>
  <c r="K61" s="1"/>
  <c r="L61"/>
  <c r="C62"/>
  <c r="D62" s="1"/>
  <c r="E62" s="1"/>
  <c r="F62" s="1"/>
  <c r="G62" s="1"/>
  <c r="H62" s="1"/>
  <c r="I62" s="1"/>
  <c r="J62" s="1"/>
  <c r="K62" s="1"/>
  <c r="L62"/>
  <c r="C63"/>
  <c r="D63" s="1"/>
  <c r="E63" s="1"/>
  <c r="F63" s="1"/>
  <c r="G63" s="1"/>
  <c r="H63" s="1"/>
  <c r="I63" s="1"/>
  <c r="J63" s="1"/>
  <c r="K63" s="1"/>
  <c r="L63"/>
  <c r="C64"/>
  <c r="D64" s="1"/>
  <c r="E64" s="1"/>
  <c r="F64" s="1"/>
  <c r="G64" s="1"/>
  <c r="H64" s="1"/>
  <c r="I64" s="1"/>
  <c r="J64" s="1"/>
  <c r="K64" s="1"/>
  <c r="L64"/>
  <c r="C65"/>
  <c r="D65" s="1"/>
  <c r="E65" s="1"/>
  <c r="F65" s="1"/>
  <c r="G65" s="1"/>
  <c r="H65" s="1"/>
  <c r="I65" s="1"/>
  <c r="J65" s="1"/>
  <c r="K65" s="1"/>
  <c r="L65"/>
  <c r="C66"/>
  <c r="D66" s="1"/>
  <c r="E66" s="1"/>
  <c r="F66" s="1"/>
  <c r="G66" s="1"/>
  <c r="H66" s="1"/>
  <c r="I66" s="1"/>
  <c r="J66" s="1"/>
  <c r="K66" s="1"/>
  <c r="L66"/>
  <c r="C67"/>
  <c r="D67" s="1"/>
  <c r="E67" s="1"/>
  <c r="F67" s="1"/>
  <c r="G67" s="1"/>
  <c r="H67" s="1"/>
  <c r="I67" s="1"/>
  <c r="J67" s="1"/>
  <c r="K67" s="1"/>
  <c r="L67"/>
  <c r="C68"/>
  <c r="D68" s="1"/>
  <c r="E68" s="1"/>
  <c r="F68" s="1"/>
  <c r="G68" s="1"/>
  <c r="H68" s="1"/>
  <c r="I68" s="1"/>
  <c r="J68" s="1"/>
  <c r="K68" s="1"/>
  <c r="L68"/>
  <c r="C69"/>
  <c r="D69" s="1"/>
  <c r="E69" s="1"/>
  <c r="F69" s="1"/>
  <c r="G69" s="1"/>
  <c r="H69" s="1"/>
  <c r="I69" s="1"/>
  <c r="J69" s="1"/>
  <c r="K69" s="1"/>
  <c r="L69"/>
  <c r="C70"/>
  <c r="D70" s="1"/>
  <c r="E70" s="1"/>
  <c r="F70" s="1"/>
  <c r="G70" s="1"/>
  <c r="H70" s="1"/>
  <c r="I70" s="1"/>
  <c r="J70" s="1"/>
  <c r="K70" s="1"/>
  <c r="L70"/>
  <c r="C71"/>
  <c r="D71" s="1"/>
  <c r="E71" s="1"/>
  <c r="F71" s="1"/>
  <c r="G71" s="1"/>
  <c r="H71" s="1"/>
  <c r="I71" s="1"/>
  <c r="J71" s="1"/>
  <c r="K71" s="1"/>
  <c r="L71"/>
  <c r="C72"/>
  <c r="D72" s="1"/>
  <c r="E72" s="1"/>
  <c r="F72" s="1"/>
  <c r="G72" s="1"/>
  <c r="H72" s="1"/>
  <c r="I72" s="1"/>
  <c r="J72" s="1"/>
  <c r="K72" s="1"/>
  <c r="L72"/>
  <c r="C73"/>
  <c r="D73" s="1"/>
  <c r="E73" s="1"/>
  <c r="F73" s="1"/>
  <c r="G73" s="1"/>
  <c r="H73" s="1"/>
  <c r="I73" s="1"/>
  <c r="J73" s="1"/>
  <c r="K73" s="1"/>
  <c r="L73"/>
  <c r="C74"/>
  <c r="D74" s="1"/>
  <c r="E74" s="1"/>
  <c r="F74" s="1"/>
  <c r="G74" s="1"/>
  <c r="H74" s="1"/>
  <c r="I74" s="1"/>
  <c r="J74" s="1"/>
  <c r="K74" s="1"/>
  <c r="L74"/>
  <c r="C75"/>
  <c r="D75" s="1"/>
  <c r="E75" s="1"/>
  <c r="F75" s="1"/>
  <c r="G75" s="1"/>
  <c r="H75" s="1"/>
  <c r="I75" s="1"/>
  <c r="J75" s="1"/>
  <c r="K75" s="1"/>
  <c r="L75"/>
  <c r="C76"/>
  <c r="D76" s="1"/>
  <c r="E76" s="1"/>
  <c r="F76" s="1"/>
  <c r="G76" s="1"/>
  <c r="H76" s="1"/>
  <c r="I76" s="1"/>
  <c r="J76" s="1"/>
  <c r="K76" s="1"/>
  <c r="L76"/>
  <c r="C77"/>
  <c r="D77" s="1"/>
  <c r="E77" s="1"/>
  <c r="F77" s="1"/>
  <c r="G77" s="1"/>
  <c r="H77" s="1"/>
  <c r="I77" s="1"/>
  <c r="J77" s="1"/>
  <c r="K77" s="1"/>
  <c r="L77"/>
  <c r="C78"/>
  <c r="D78" s="1"/>
  <c r="E78" s="1"/>
  <c r="F78" s="1"/>
  <c r="G78" s="1"/>
  <c r="H78" s="1"/>
  <c r="I78" s="1"/>
  <c r="J78" s="1"/>
  <c r="K78" s="1"/>
  <c r="L78"/>
  <c r="C79"/>
  <c r="D79" s="1"/>
  <c r="E79" s="1"/>
  <c r="F79" s="1"/>
  <c r="G79" s="1"/>
  <c r="H79" s="1"/>
  <c r="I79" s="1"/>
  <c r="J79" s="1"/>
  <c r="K79" s="1"/>
  <c r="L79"/>
  <c r="C80"/>
  <c r="D80" s="1"/>
  <c r="E80" s="1"/>
  <c r="F80" s="1"/>
  <c r="G80" s="1"/>
  <c r="H80" s="1"/>
  <c r="I80" s="1"/>
  <c r="J80" s="1"/>
  <c r="K80" s="1"/>
  <c r="L80"/>
  <c r="C81"/>
  <c r="D81" s="1"/>
  <c r="E81" s="1"/>
  <c r="F81" s="1"/>
  <c r="G81" s="1"/>
  <c r="H81" s="1"/>
  <c r="I81" s="1"/>
  <c r="J81" s="1"/>
  <c r="K81" s="1"/>
  <c r="L81"/>
  <c r="C82"/>
  <c r="D82" s="1"/>
  <c r="E82" s="1"/>
  <c r="F82" s="1"/>
  <c r="G82" s="1"/>
  <c r="H82" s="1"/>
  <c r="I82" s="1"/>
  <c r="J82" s="1"/>
  <c r="K82" s="1"/>
  <c r="L82"/>
  <c r="C83"/>
  <c r="D83" s="1"/>
  <c r="E83" s="1"/>
  <c r="F83" s="1"/>
  <c r="G83" s="1"/>
  <c r="H83" s="1"/>
  <c r="I83" s="1"/>
  <c r="J83" s="1"/>
  <c r="K83" s="1"/>
  <c r="L83"/>
  <c r="C84"/>
  <c r="D84" s="1"/>
  <c r="E84" s="1"/>
  <c r="F84" s="1"/>
  <c r="G84" s="1"/>
  <c r="H84" s="1"/>
  <c r="I84" s="1"/>
  <c r="J84" s="1"/>
  <c r="K84" s="1"/>
  <c r="L84"/>
  <c r="C85"/>
  <c r="D85" s="1"/>
  <c r="E85" s="1"/>
  <c r="F85" s="1"/>
  <c r="G85" s="1"/>
  <c r="H85" s="1"/>
  <c r="I85" s="1"/>
  <c r="J85" s="1"/>
  <c r="K85" s="1"/>
  <c r="L85"/>
  <c r="C86"/>
  <c r="D86" s="1"/>
  <c r="E86" s="1"/>
  <c r="F86" s="1"/>
  <c r="G86" s="1"/>
  <c r="H86" s="1"/>
  <c r="I86" s="1"/>
  <c r="J86" s="1"/>
  <c r="K86" s="1"/>
  <c r="L86"/>
  <c r="C87"/>
  <c r="D87" s="1"/>
  <c r="E87" s="1"/>
  <c r="F87" s="1"/>
  <c r="G87" s="1"/>
  <c r="H87" s="1"/>
  <c r="I87" s="1"/>
  <c r="J87" s="1"/>
  <c r="K87" s="1"/>
  <c r="L87"/>
  <c r="C88"/>
  <c r="D88" s="1"/>
  <c r="E88" s="1"/>
  <c r="F88" s="1"/>
  <c r="G88" s="1"/>
  <c r="H88" s="1"/>
  <c r="I88" s="1"/>
  <c r="J88" s="1"/>
  <c r="K88" s="1"/>
  <c r="L88"/>
  <c r="C89"/>
  <c r="D89" s="1"/>
  <c r="E89" s="1"/>
  <c r="F89" s="1"/>
  <c r="G89" s="1"/>
  <c r="H89" s="1"/>
  <c r="I89" s="1"/>
  <c r="J89" s="1"/>
  <c r="K89" s="1"/>
  <c r="L89"/>
  <c r="C90"/>
  <c r="D90" s="1"/>
  <c r="E90" s="1"/>
  <c r="F90" s="1"/>
  <c r="G90" s="1"/>
  <c r="H90" s="1"/>
  <c r="I90" s="1"/>
  <c r="J90" s="1"/>
  <c r="K90" s="1"/>
  <c r="L90"/>
  <c r="C91"/>
  <c r="D91" s="1"/>
  <c r="E91" s="1"/>
  <c r="F91" s="1"/>
  <c r="G91" s="1"/>
  <c r="H91" s="1"/>
  <c r="I91" s="1"/>
  <c r="J91" s="1"/>
  <c r="K91" s="1"/>
  <c r="L91"/>
  <c r="C92"/>
  <c r="D92" s="1"/>
  <c r="E92" s="1"/>
  <c r="F92" s="1"/>
  <c r="G92" s="1"/>
  <c r="H92" s="1"/>
  <c r="I92" s="1"/>
  <c r="J92" s="1"/>
  <c r="K92" s="1"/>
  <c r="L92"/>
  <c r="C93"/>
  <c r="D93" s="1"/>
  <c r="E93" s="1"/>
  <c r="F93" s="1"/>
  <c r="G93" s="1"/>
  <c r="H93" s="1"/>
  <c r="I93" s="1"/>
  <c r="J93" s="1"/>
  <c r="K93" s="1"/>
  <c r="L93"/>
  <c r="C94"/>
  <c r="D94" s="1"/>
  <c r="E94" s="1"/>
  <c r="F94" s="1"/>
  <c r="G94" s="1"/>
  <c r="H94" s="1"/>
  <c r="I94" s="1"/>
  <c r="J94" s="1"/>
  <c r="K94" s="1"/>
  <c r="L94"/>
  <c r="C95"/>
  <c r="D95" s="1"/>
  <c r="E95" s="1"/>
  <c r="F95" s="1"/>
  <c r="G95" s="1"/>
  <c r="H95" s="1"/>
  <c r="I95" s="1"/>
  <c r="J95" s="1"/>
  <c r="K95" s="1"/>
  <c r="L95"/>
  <c r="C96"/>
  <c r="D96" s="1"/>
  <c r="E96" s="1"/>
  <c r="F96" s="1"/>
  <c r="G96" s="1"/>
  <c r="H96" s="1"/>
  <c r="I96" s="1"/>
  <c r="J96" s="1"/>
  <c r="K96" s="1"/>
  <c r="L96"/>
  <c r="C97"/>
  <c r="D97" s="1"/>
  <c r="E97" s="1"/>
  <c r="F97" s="1"/>
  <c r="G97" s="1"/>
  <c r="H97" s="1"/>
  <c r="I97" s="1"/>
  <c r="J97" s="1"/>
  <c r="K97" s="1"/>
  <c r="L97"/>
  <c r="C98"/>
  <c r="D98" s="1"/>
  <c r="E98" s="1"/>
  <c r="F98" s="1"/>
  <c r="G98" s="1"/>
  <c r="H98" s="1"/>
  <c r="I98" s="1"/>
  <c r="J98" s="1"/>
  <c r="K98" s="1"/>
  <c r="L98"/>
  <c r="C99"/>
  <c r="D99" s="1"/>
  <c r="E99" s="1"/>
  <c r="F99" s="1"/>
  <c r="G99" s="1"/>
  <c r="H99" s="1"/>
  <c r="I99" s="1"/>
  <c r="J99" s="1"/>
  <c r="K99" s="1"/>
  <c r="L99"/>
  <c r="C100"/>
  <c r="D100" s="1"/>
  <c r="E100" s="1"/>
  <c r="F100" s="1"/>
  <c r="G100" s="1"/>
  <c r="H100" s="1"/>
  <c r="I100" s="1"/>
  <c r="J100" s="1"/>
  <c r="K100" s="1"/>
  <c r="L100"/>
  <c r="C101"/>
  <c r="D101" s="1"/>
  <c r="E101" s="1"/>
  <c r="F101" s="1"/>
  <c r="G101" s="1"/>
  <c r="H101" s="1"/>
  <c r="I101" s="1"/>
  <c r="J101" s="1"/>
  <c r="K101" s="1"/>
  <c r="L101"/>
  <c r="C102"/>
  <c r="D102" s="1"/>
  <c r="E102" s="1"/>
  <c r="F102" s="1"/>
  <c r="G102" s="1"/>
  <c r="H102" s="1"/>
  <c r="I102" s="1"/>
  <c r="J102" s="1"/>
  <c r="K102" s="1"/>
  <c r="L102"/>
  <c r="C103"/>
  <c r="D103" s="1"/>
  <c r="E103" s="1"/>
  <c r="F103" s="1"/>
  <c r="G103" s="1"/>
  <c r="H103" s="1"/>
  <c r="I103" s="1"/>
  <c r="J103" s="1"/>
  <c r="K103" s="1"/>
  <c r="L103"/>
  <c r="C104"/>
  <c r="D104" s="1"/>
  <c r="E104" s="1"/>
  <c r="F104" s="1"/>
  <c r="G104" s="1"/>
  <c r="H104" s="1"/>
  <c r="I104" s="1"/>
  <c r="J104" s="1"/>
  <c r="K104" s="1"/>
  <c r="L104"/>
  <c r="C105"/>
  <c r="D105" s="1"/>
  <c r="E105" s="1"/>
  <c r="F105" s="1"/>
  <c r="G105" s="1"/>
  <c r="H105" s="1"/>
  <c r="I105" s="1"/>
  <c r="J105" s="1"/>
  <c r="K105" s="1"/>
  <c r="L105"/>
  <c r="C106"/>
  <c r="D106" s="1"/>
  <c r="E106" s="1"/>
  <c r="F106" s="1"/>
  <c r="G106" s="1"/>
  <c r="H106" s="1"/>
  <c r="I106" s="1"/>
  <c r="J106" s="1"/>
  <c r="K106" s="1"/>
  <c r="L106"/>
  <c r="C107"/>
  <c r="D107" s="1"/>
  <c r="E107" s="1"/>
  <c r="F107" s="1"/>
  <c r="G107" s="1"/>
  <c r="H107" s="1"/>
  <c r="I107" s="1"/>
  <c r="J107" s="1"/>
  <c r="K107" s="1"/>
  <c r="L107"/>
  <c r="C108"/>
  <c r="D108" s="1"/>
  <c r="E108" s="1"/>
  <c r="F108" s="1"/>
  <c r="G108" s="1"/>
  <c r="H108" s="1"/>
  <c r="I108" s="1"/>
  <c r="J108" s="1"/>
  <c r="K108" s="1"/>
  <c r="L108"/>
  <c r="C109"/>
  <c r="D109" s="1"/>
  <c r="E109" s="1"/>
  <c r="F109" s="1"/>
  <c r="G109" s="1"/>
  <c r="H109" s="1"/>
  <c r="I109" s="1"/>
  <c r="J109" s="1"/>
  <c r="K109" s="1"/>
  <c r="L109"/>
  <c r="C110"/>
  <c r="D110" s="1"/>
  <c r="E110" s="1"/>
  <c r="F110" s="1"/>
  <c r="G110" s="1"/>
  <c r="H110" s="1"/>
  <c r="I110" s="1"/>
  <c r="J110" s="1"/>
  <c r="K110" s="1"/>
  <c r="L110"/>
  <c r="C111"/>
  <c r="D111" s="1"/>
  <c r="E111" s="1"/>
  <c r="F111" s="1"/>
  <c r="G111" s="1"/>
  <c r="H111" s="1"/>
  <c r="I111" s="1"/>
  <c r="J111" s="1"/>
  <c r="K111" s="1"/>
  <c r="L111"/>
  <c r="C112"/>
  <c r="D112" s="1"/>
  <c r="E112" s="1"/>
  <c r="F112" s="1"/>
  <c r="G112" s="1"/>
  <c r="H112" s="1"/>
  <c r="I112" s="1"/>
  <c r="J112" s="1"/>
  <c r="K112" s="1"/>
  <c r="L112"/>
  <c r="C113"/>
  <c r="D113" s="1"/>
  <c r="E113" s="1"/>
  <c r="F113" s="1"/>
  <c r="G113" s="1"/>
  <c r="H113" s="1"/>
  <c r="I113" s="1"/>
  <c r="J113" s="1"/>
  <c r="K113" s="1"/>
  <c r="L113"/>
  <c r="C114"/>
  <c r="D114" s="1"/>
  <c r="E114" s="1"/>
  <c r="F114" s="1"/>
  <c r="G114" s="1"/>
  <c r="H114" s="1"/>
  <c r="I114" s="1"/>
  <c r="J114" s="1"/>
  <c r="K114" s="1"/>
  <c r="L114"/>
  <c r="C115"/>
  <c r="D115" s="1"/>
  <c r="E115" s="1"/>
  <c r="F115" s="1"/>
  <c r="G115" s="1"/>
  <c r="H115" s="1"/>
  <c r="I115" s="1"/>
  <c r="J115" s="1"/>
  <c r="K115" s="1"/>
  <c r="L115"/>
  <c r="C116"/>
  <c r="D116" s="1"/>
  <c r="E116" s="1"/>
  <c r="F116" s="1"/>
  <c r="G116" s="1"/>
  <c r="H116" s="1"/>
  <c r="I116" s="1"/>
  <c r="J116" s="1"/>
  <c r="K116" s="1"/>
  <c r="L116"/>
  <c r="C117"/>
  <c r="D117" s="1"/>
  <c r="E117" s="1"/>
  <c r="F117" s="1"/>
  <c r="G117" s="1"/>
  <c r="H117" s="1"/>
  <c r="I117" s="1"/>
  <c r="J117" s="1"/>
  <c r="K117" s="1"/>
  <c r="L117"/>
  <c r="C118"/>
  <c r="D118" s="1"/>
  <c r="E118" s="1"/>
  <c r="F118" s="1"/>
  <c r="G118" s="1"/>
  <c r="H118" s="1"/>
  <c r="I118" s="1"/>
  <c r="J118" s="1"/>
  <c r="K118" s="1"/>
  <c r="L118"/>
  <c r="C119"/>
  <c r="D119" s="1"/>
  <c r="E119" s="1"/>
  <c r="F119" s="1"/>
  <c r="G119" s="1"/>
  <c r="H119" s="1"/>
  <c r="I119" s="1"/>
  <c r="J119" s="1"/>
  <c r="K119" s="1"/>
  <c r="L119"/>
  <c r="C120"/>
  <c r="D120" s="1"/>
  <c r="E120" s="1"/>
  <c r="F120" s="1"/>
  <c r="G120" s="1"/>
  <c r="H120" s="1"/>
  <c r="I120" s="1"/>
  <c r="J120" s="1"/>
  <c r="K120" s="1"/>
  <c r="L120"/>
  <c r="C121"/>
  <c r="D121" s="1"/>
  <c r="E121" s="1"/>
  <c r="F121" s="1"/>
  <c r="G121" s="1"/>
  <c r="H121" s="1"/>
  <c r="I121" s="1"/>
  <c r="J121" s="1"/>
  <c r="K121" s="1"/>
  <c r="L121"/>
  <c r="L122"/>
  <c r="C122"/>
  <c r="D122" s="1"/>
  <c r="E122" s="1"/>
  <c r="F122" s="1"/>
  <c r="G122" s="1"/>
  <c r="H122" s="1"/>
  <c r="I122" s="1"/>
  <c r="J122" s="1"/>
  <c r="K122" s="1"/>
  <c r="C123"/>
  <c r="D123" s="1"/>
  <c r="E123" s="1"/>
  <c r="F123" s="1"/>
  <c r="G123" s="1"/>
  <c r="H123" s="1"/>
  <c r="I123" s="1"/>
  <c r="J123" s="1"/>
  <c r="K123" s="1"/>
  <c r="L123"/>
  <c r="C124"/>
  <c r="D124" s="1"/>
  <c r="E124" s="1"/>
  <c r="F124" s="1"/>
  <c r="G124" s="1"/>
  <c r="H124" s="1"/>
  <c r="I124" s="1"/>
  <c r="J124" s="1"/>
  <c r="K124" s="1"/>
  <c r="L124"/>
  <c r="C125"/>
  <c r="D125" s="1"/>
  <c r="E125" s="1"/>
  <c r="F125" s="1"/>
  <c r="G125" s="1"/>
  <c r="H125" s="1"/>
  <c r="I125" s="1"/>
  <c r="J125" s="1"/>
  <c r="K125" s="1"/>
  <c r="L125"/>
  <c r="C126"/>
  <c r="D126" s="1"/>
  <c r="E126" s="1"/>
  <c r="F126" s="1"/>
  <c r="G126" s="1"/>
  <c r="H126" s="1"/>
  <c r="I126" s="1"/>
  <c r="J126" s="1"/>
  <c r="K126" s="1"/>
  <c r="L126"/>
  <c r="C127"/>
  <c r="D127" s="1"/>
  <c r="E127" s="1"/>
  <c r="F127" s="1"/>
  <c r="G127" s="1"/>
  <c r="H127" s="1"/>
  <c r="I127" s="1"/>
  <c r="J127" s="1"/>
  <c r="K127" s="1"/>
  <c r="L127"/>
  <c r="C128"/>
  <c r="D128" s="1"/>
  <c r="E128" s="1"/>
  <c r="F128" s="1"/>
  <c r="G128" s="1"/>
  <c r="H128" s="1"/>
  <c r="I128" s="1"/>
  <c r="J128" s="1"/>
  <c r="K128" s="1"/>
  <c r="L128"/>
  <c r="L129"/>
  <c r="C129"/>
  <c r="D129" s="1"/>
  <c r="E129" s="1"/>
  <c r="F129" s="1"/>
  <c r="G129" s="1"/>
  <c r="H129" s="1"/>
  <c r="I129" s="1"/>
  <c r="J129" s="1"/>
  <c r="K129" s="1"/>
  <c r="D135" i="4" l="1"/>
  <c r="I135"/>
  <c r="K135"/>
  <c r="F135"/>
  <c r="E135"/>
  <c r="G135"/>
  <c r="J135"/>
  <c r="H135"/>
  <c r="M136"/>
  <c r="B137"/>
  <c r="N136"/>
  <c r="C136"/>
  <c r="L136"/>
  <c r="D136" l="1"/>
  <c r="I136"/>
  <c r="K136"/>
  <c r="F136"/>
  <c r="E136"/>
  <c r="G136"/>
  <c r="J136"/>
  <c r="H136"/>
  <c r="M137"/>
  <c r="B138"/>
  <c r="N137"/>
  <c r="C137"/>
  <c r="L137"/>
  <c r="D137" l="1"/>
  <c r="I137"/>
  <c r="K137"/>
  <c r="F137"/>
  <c r="E137"/>
  <c r="G137"/>
  <c r="J137"/>
  <c r="H137"/>
  <c r="M138"/>
  <c r="B139"/>
  <c r="N138"/>
  <c r="C138"/>
  <c r="L138"/>
  <c r="D138" l="1"/>
  <c r="I138"/>
  <c r="K138"/>
  <c r="F138"/>
  <c r="E138"/>
  <c r="G138"/>
  <c r="J138"/>
  <c r="H138"/>
  <c r="M139"/>
  <c r="B140"/>
  <c r="N139"/>
  <c r="C139"/>
  <c r="L139"/>
  <c r="E139" l="1"/>
  <c r="G139"/>
  <c r="D139"/>
  <c r="F139"/>
  <c r="I139"/>
  <c r="K139"/>
  <c r="H139"/>
  <c r="J139"/>
  <c r="B141"/>
  <c r="N140"/>
  <c r="M140"/>
  <c r="C140"/>
  <c r="L140"/>
  <c r="M141" l="1"/>
  <c r="B142"/>
  <c r="N141"/>
  <c r="C141"/>
  <c r="L141"/>
  <c r="E140"/>
  <c r="K140"/>
  <c r="F140"/>
  <c r="D140"/>
  <c r="G140"/>
  <c r="I140"/>
  <c r="J140"/>
  <c r="H140"/>
  <c r="K141" l="1"/>
  <c r="I141"/>
  <c r="H141"/>
  <c r="J141"/>
  <c r="G141"/>
  <c r="E141"/>
  <c r="D141"/>
  <c r="F141"/>
  <c r="B143"/>
  <c r="M142"/>
  <c r="N142"/>
  <c r="C142"/>
  <c r="L142"/>
  <c r="M143" l="1"/>
  <c r="B144"/>
  <c r="N143"/>
  <c r="C143"/>
  <c r="L143"/>
  <c r="K142"/>
  <c r="F142"/>
  <c r="I142"/>
  <c r="H142"/>
  <c r="E142"/>
  <c r="G142"/>
  <c r="J142"/>
  <c r="D142"/>
  <c r="E143" l="1"/>
  <c r="G143"/>
  <c r="D143"/>
  <c r="F143"/>
  <c r="I143"/>
  <c r="K143"/>
  <c r="H143"/>
  <c r="J143"/>
  <c r="B145"/>
  <c r="M144"/>
  <c r="N144"/>
  <c r="C144"/>
  <c r="L144"/>
  <c r="M145" l="1"/>
  <c r="B146"/>
  <c r="N145"/>
  <c r="C145"/>
  <c r="L145"/>
  <c r="E144"/>
  <c r="K144"/>
  <c r="F144"/>
  <c r="D144"/>
  <c r="G144"/>
  <c r="I144"/>
  <c r="J144"/>
  <c r="H144"/>
  <c r="G145" l="1"/>
  <c r="E145"/>
  <c r="I145"/>
  <c r="H145"/>
  <c r="J145"/>
  <c r="K145"/>
  <c r="D145"/>
  <c r="F145"/>
  <c r="B147"/>
  <c r="M146"/>
  <c r="N146"/>
  <c r="C146"/>
  <c r="L146"/>
  <c r="M147" l="1"/>
  <c r="B148"/>
  <c r="N147"/>
  <c r="C147"/>
  <c r="L147"/>
  <c r="K146"/>
  <c r="F146"/>
  <c r="I146"/>
  <c r="H146"/>
  <c r="E146"/>
  <c r="G146"/>
  <c r="J146"/>
  <c r="D146"/>
  <c r="E147" l="1"/>
  <c r="G147"/>
  <c r="D147"/>
  <c r="F147"/>
  <c r="I147"/>
  <c r="K147"/>
  <c r="H147"/>
  <c r="J147"/>
  <c r="B149"/>
  <c r="N148"/>
  <c r="M148"/>
  <c r="C148"/>
  <c r="L148"/>
  <c r="M149" l="1"/>
  <c r="B150"/>
  <c r="N149"/>
  <c r="C149"/>
  <c r="L149"/>
  <c r="E148"/>
  <c r="K148"/>
  <c r="F148"/>
  <c r="D148"/>
  <c r="G148"/>
  <c r="I148"/>
  <c r="J148"/>
  <c r="H148"/>
  <c r="G149" l="1"/>
  <c r="E149"/>
  <c r="D149"/>
  <c r="F149"/>
  <c r="K149"/>
  <c r="I149"/>
  <c r="H149"/>
  <c r="J149"/>
  <c r="B151"/>
  <c r="M150"/>
  <c r="N150"/>
  <c r="C150"/>
  <c r="L150"/>
  <c r="M151" l="1"/>
  <c r="B152"/>
  <c r="N151"/>
  <c r="C151"/>
  <c r="L151"/>
  <c r="K150"/>
  <c r="F150"/>
  <c r="I150"/>
  <c r="H150"/>
  <c r="E150"/>
  <c r="G150"/>
  <c r="J150"/>
  <c r="D150"/>
  <c r="E151" l="1"/>
  <c r="G151"/>
  <c r="D151"/>
  <c r="F151"/>
  <c r="I151"/>
  <c r="K151"/>
  <c r="H151"/>
  <c r="J151"/>
  <c r="B153"/>
  <c r="M152"/>
  <c r="N152"/>
  <c r="C152"/>
  <c r="L152"/>
  <c r="M153" l="1"/>
  <c r="B154"/>
  <c r="N153"/>
  <c r="C153"/>
  <c r="L153"/>
  <c r="E152"/>
  <c r="K152"/>
  <c r="F152"/>
  <c r="D152"/>
  <c r="G152"/>
  <c r="I152"/>
  <c r="J152"/>
  <c r="H152"/>
  <c r="G153" l="1"/>
  <c r="E153"/>
  <c r="D153"/>
  <c r="F153"/>
  <c r="K153"/>
  <c r="I153"/>
  <c r="H153"/>
  <c r="J153"/>
  <c r="B155"/>
  <c r="M154"/>
  <c r="N154"/>
  <c r="C154"/>
  <c r="L154"/>
  <c r="M155" l="1"/>
  <c r="B156"/>
  <c r="N155"/>
  <c r="C155"/>
  <c r="L155"/>
  <c r="K154"/>
  <c r="F154"/>
  <c r="I154"/>
  <c r="H154"/>
  <c r="E154"/>
  <c r="G154"/>
  <c r="J154"/>
  <c r="D154"/>
  <c r="E155" l="1"/>
  <c r="G155"/>
  <c r="D155"/>
  <c r="F155"/>
  <c r="I155"/>
  <c r="K155"/>
  <c r="H155"/>
  <c r="J155"/>
  <c r="B157"/>
  <c r="N156"/>
  <c r="M156"/>
  <c r="C156"/>
  <c r="L156"/>
  <c r="M157" l="1"/>
  <c r="B158"/>
  <c r="N157"/>
  <c r="C157"/>
  <c r="L157"/>
  <c r="E156"/>
  <c r="K156"/>
  <c r="F156"/>
  <c r="D156"/>
  <c r="G156"/>
  <c r="I156"/>
  <c r="J156"/>
  <c r="H156"/>
  <c r="G157" l="1"/>
  <c r="E157"/>
  <c r="D157"/>
  <c r="F157"/>
  <c r="K157"/>
  <c r="I157"/>
  <c r="H157"/>
  <c r="J157"/>
  <c r="B159"/>
  <c r="N158"/>
  <c r="M158"/>
  <c r="C158"/>
  <c r="L158"/>
  <c r="M159" l="1"/>
  <c r="B160"/>
  <c r="N159"/>
  <c r="C159"/>
  <c r="L159"/>
  <c r="G158"/>
  <c r="J158"/>
  <c r="H158"/>
  <c r="E158"/>
  <c r="K158"/>
  <c r="F158"/>
  <c r="I158"/>
  <c r="D158"/>
  <c r="E159" l="1"/>
  <c r="G159"/>
  <c r="D159"/>
  <c r="F159"/>
  <c r="I159"/>
  <c r="K159"/>
  <c r="H159"/>
  <c r="J159"/>
  <c r="B161"/>
  <c r="N160"/>
  <c r="M160"/>
  <c r="C160"/>
  <c r="L160"/>
  <c r="M161" l="1"/>
  <c r="B162"/>
  <c r="N161"/>
  <c r="C161"/>
  <c r="L161"/>
  <c r="G160"/>
  <c r="D160"/>
  <c r="E160"/>
  <c r="I160"/>
  <c r="K160"/>
  <c r="H160"/>
  <c r="F160"/>
  <c r="J160"/>
  <c r="G161" l="1"/>
  <c r="E161"/>
  <c r="D161"/>
  <c r="F161"/>
  <c r="K161"/>
  <c r="I161"/>
  <c r="H161"/>
  <c r="J161"/>
  <c r="B163"/>
  <c r="N162"/>
  <c r="M162"/>
  <c r="C162"/>
  <c r="L162"/>
  <c r="M163" l="1"/>
  <c r="B164"/>
  <c r="N163"/>
  <c r="C163"/>
  <c r="L163"/>
  <c r="G162"/>
  <c r="F162"/>
  <c r="I162"/>
  <c r="H162"/>
  <c r="K162"/>
  <c r="D162"/>
  <c r="J162"/>
  <c r="E162"/>
  <c r="E163" l="1"/>
  <c r="G163"/>
  <c r="D163"/>
  <c r="F163"/>
  <c r="I163"/>
  <c r="K163"/>
  <c r="H163"/>
  <c r="J163"/>
  <c r="B165"/>
  <c r="N164"/>
  <c r="M164"/>
  <c r="C164"/>
  <c r="L164"/>
  <c r="M165" l="1"/>
  <c r="B166"/>
  <c r="N165"/>
  <c r="C165"/>
  <c r="L165"/>
  <c r="G164"/>
  <c r="F164"/>
  <c r="I164"/>
  <c r="H164"/>
  <c r="K164"/>
  <c r="J164"/>
  <c r="D164"/>
  <c r="E164"/>
  <c r="G165" l="1"/>
  <c r="E165"/>
  <c r="D165"/>
  <c r="F165"/>
  <c r="K165"/>
  <c r="I165"/>
  <c r="H165"/>
  <c r="J165"/>
  <c r="B167"/>
  <c r="N166"/>
  <c r="M166"/>
  <c r="C166"/>
  <c r="L166"/>
  <c r="M167" l="1"/>
  <c r="B168"/>
  <c r="N167"/>
  <c r="C167"/>
  <c r="L167"/>
  <c r="G166"/>
  <c r="H166"/>
  <c r="F166"/>
  <c r="I166"/>
  <c r="K166"/>
  <c r="D166"/>
  <c r="E166"/>
  <c r="J166"/>
  <c r="E167" l="1"/>
  <c r="G167"/>
  <c r="D167"/>
  <c r="F167"/>
  <c r="I167"/>
  <c r="K167"/>
  <c r="H167"/>
  <c r="J167"/>
  <c r="B169"/>
  <c r="N168"/>
  <c r="M168"/>
  <c r="C168"/>
  <c r="L168"/>
  <c r="M169" l="1"/>
  <c r="B170"/>
  <c r="N169"/>
  <c r="C169"/>
  <c r="L169"/>
  <c r="G168"/>
  <c r="F168"/>
  <c r="I168"/>
  <c r="H168"/>
  <c r="K168"/>
  <c r="J168"/>
  <c r="D168"/>
  <c r="E168"/>
  <c r="G169" l="1"/>
  <c r="E169"/>
  <c r="F169"/>
  <c r="D169"/>
  <c r="K169"/>
  <c r="I169"/>
  <c r="J169"/>
  <c r="H169"/>
  <c r="B171"/>
  <c r="M170"/>
  <c r="N170"/>
  <c r="C170"/>
  <c r="L170"/>
  <c r="M171" l="1"/>
  <c r="B172"/>
  <c r="N171"/>
  <c r="C171"/>
  <c r="L171"/>
  <c r="G170"/>
  <c r="J170"/>
  <c r="H170"/>
  <c r="E170"/>
  <c r="K170"/>
  <c r="F170"/>
  <c r="D170"/>
  <c r="I170"/>
  <c r="E171" l="1"/>
  <c r="G171"/>
  <c r="F171"/>
  <c r="D171"/>
  <c r="I171"/>
  <c r="K171"/>
  <c r="J171"/>
  <c r="H171"/>
  <c r="B173"/>
  <c r="N172"/>
  <c r="M172"/>
  <c r="C172"/>
  <c r="L172"/>
  <c r="M173" l="1"/>
  <c r="B174"/>
  <c r="N173"/>
  <c r="C173"/>
  <c r="L173"/>
  <c r="G172"/>
  <c r="F172"/>
  <c r="D172"/>
  <c r="E172"/>
  <c r="K172"/>
  <c r="J172"/>
  <c r="H172"/>
  <c r="I172"/>
  <c r="G173" l="1"/>
  <c r="E173"/>
  <c r="F173"/>
  <c r="D173"/>
  <c r="K173"/>
  <c r="I173"/>
  <c r="J173"/>
  <c r="H173"/>
  <c r="B175"/>
  <c r="M174"/>
  <c r="N174"/>
  <c r="C174"/>
  <c r="L174"/>
  <c r="M175" l="1"/>
  <c r="B176"/>
  <c r="N175"/>
  <c r="C175"/>
  <c r="L175"/>
  <c r="G174"/>
  <c r="J174"/>
  <c r="H174"/>
  <c r="E174"/>
  <c r="K174"/>
  <c r="F174"/>
  <c r="D174"/>
  <c r="I174"/>
  <c r="E175" l="1"/>
  <c r="G175"/>
  <c r="F175"/>
  <c r="D175"/>
  <c r="I175"/>
  <c r="K175"/>
  <c r="J175"/>
  <c r="H175"/>
  <c r="B177"/>
  <c r="N176"/>
  <c r="M176"/>
  <c r="C176"/>
  <c r="L176"/>
  <c r="M177" l="1"/>
  <c r="B178"/>
  <c r="N177"/>
  <c r="C177"/>
  <c r="L177"/>
  <c r="G176"/>
  <c r="F176"/>
  <c r="D176"/>
  <c r="E176"/>
  <c r="K176"/>
  <c r="J176"/>
  <c r="H176"/>
  <c r="I176"/>
  <c r="G177" l="1"/>
  <c r="E177"/>
  <c r="F177"/>
  <c r="D177"/>
  <c r="K177"/>
  <c r="I177"/>
  <c r="J177"/>
  <c r="H177"/>
  <c r="B179"/>
  <c r="M178"/>
  <c r="N178"/>
  <c r="C178"/>
  <c r="L178"/>
  <c r="M179" l="1"/>
  <c r="B180"/>
  <c r="N179"/>
  <c r="C179"/>
  <c r="L179"/>
  <c r="G178"/>
  <c r="J178"/>
  <c r="H178"/>
  <c r="E178"/>
  <c r="K178"/>
  <c r="F178"/>
  <c r="D178"/>
  <c r="I178"/>
  <c r="E179" l="1"/>
  <c r="G179"/>
  <c r="F179"/>
  <c r="D179"/>
  <c r="I179"/>
  <c r="K179"/>
  <c r="J179"/>
  <c r="H179"/>
  <c r="B181"/>
  <c r="N180"/>
  <c r="M180"/>
  <c r="C180"/>
  <c r="L180"/>
  <c r="M181" l="1"/>
  <c r="B182"/>
  <c r="N181"/>
  <c r="C181"/>
  <c r="L181"/>
  <c r="G180"/>
  <c r="F180"/>
  <c r="D180"/>
  <c r="E180"/>
  <c r="K180"/>
  <c r="J180"/>
  <c r="H180"/>
  <c r="I180"/>
  <c r="G181" l="1"/>
  <c r="E181"/>
  <c r="F181"/>
  <c r="D181"/>
  <c r="K181"/>
  <c r="I181"/>
  <c r="J181"/>
  <c r="H181"/>
  <c r="B183"/>
  <c r="M182"/>
  <c r="N182"/>
  <c r="C182"/>
  <c r="L182"/>
  <c r="M183" l="1"/>
  <c r="B184"/>
  <c r="N183"/>
  <c r="C183"/>
  <c r="L183"/>
  <c r="G182"/>
  <c r="J182"/>
  <c r="H182"/>
  <c r="E182"/>
  <c r="K182"/>
  <c r="F182"/>
  <c r="D182"/>
  <c r="I182"/>
  <c r="E183" l="1"/>
  <c r="G183"/>
  <c r="F183"/>
  <c r="D183"/>
  <c r="I183"/>
  <c r="K183"/>
  <c r="J183"/>
  <c r="H183"/>
  <c r="B185"/>
  <c r="N184"/>
  <c r="M184"/>
  <c r="C184"/>
  <c r="L184"/>
  <c r="M185" l="1"/>
  <c r="B186"/>
  <c r="N185"/>
  <c r="C185"/>
  <c r="L185"/>
  <c r="G184"/>
  <c r="F184"/>
  <c r="D184"/>
  <c r="E184"/>
  <c r="K184"/>
  <c r="J184"/>
  <c r="H184"/>
  <c r="I184"/>
  <c r="G185" l="1"/>
  <c r="E185"/>
  <c r="F185"/>
  <c r="D185"/>
  <c r="K185"/>
  <c r="I185"/>
  <c r="J185"/>
  <c r="H185"/>
  <c r="B187"/>
  <c r="M186"/>
  <c r="N186"/>
  <c r="C186"/>
  <c r="L186"/>
  <c r="M187" l="1"/>
  <c r="B188"/>
  <c r="N187"/>
  <c r="C187"/>
  <c r="L187"/>
  <c r="G186"/>
  <c r="J186"/>
  <c r="H186"/>
  <c r="E186"/>
  <c r="K186"/>
  <c r="F186"/>
  <c r="D186"/>
  <c r="I186"/>
  <c r="E187" l="1"/>
  <c r="G187"/>
  <c r="F187"/>
  <c r="D187"/>
  <c r="I187"/>
  <c r="K187"/>
  <c r="J187"/>
  <c r="H187"/>
  <c r="B189"/>
  <c r="N188"/>
  <c r="M188"/>
  <c r="C188"/>
  <c r="L188"/>
  <c r="M189" l="1"/>
  <c r="B190"/>
  <c r="N189"/>
  <c r="C189"/>
  <c r="L189"/>
  <c r="G188"/>
  <c r="F188"/>
  <c r="D188"/>
  <c r="E188"/>
  <c r="K188"/>
  <c r="J188"/>
  <c r="H188"/>
  <c r="I188"/>
  <c r="G189" l="1"/>
  <c r="E189"/>
  <c r="F189"/>
  <c r="D189"/>
  <c r="K189"/>
  <c r="I189"/>
  <c r="J189"/>
  <c r="H189"/>
  <c r="B191"/>
  <c r="M190"/>
  <c r="N190"/>
  <c r="C190"/>
  <c r="L190"/>
  <c r="M191" l="1"/>
  <c r="B192"/>
  <c r="N191"/>
  <c r="C191"/>
  <c r="L191"/>
  <c r="G190"/>
  <c r="J190"/>
  <c r="H190"/>
  <c r="E190"/>
  <c r="K190"/>
  <c r="F190"/>
  <c r="D190"/>
  <c r="I190"/>
  <c r="E191" l="1"/>
  <c r="G191"/>
  <c r="F191"/>
  <c r="D191"/>
  <c r="I191"/>
  <c r="K191"/>
  <c r="J191"/>
  <c r="H191"/>
  <c r="B193"/>
  <c r="N192"/>
  <c r="M192"/>
  <c r="C192"/>
  <c r="L192"/>
  <c r="M193" l="1"/>
  <c r="B194"/>
  <c r="N193"/>
  <c r="C193"/>
  <c r="L193"/>
  <c r="G192"/>
  <c r="F192"/>
  <c r="D192"/>
  <c r="E192"/>
  <c r="K192"/>
  <c r="J192"/>
  <c r="H192"/>
  <c r="I192"/>
  <c r="G193" l="1"/>
  <c r="E193"/>
  <c r="F193"/>
  <c r="D193"/>
  <c r="K193"/>
  <c r="I193"/>
  <c r="J193"/>
  <c r="H193"/>
  <c r="B195"/>
  <c r="M194"/>
  <c r="N194"/>
  <c r="C194"/>
  <c r="L194"/>
  <c r="M195" l="1"/>
  <c r="B196"/>
  <c r="N195"/>
  <c r="C195"/>
  <c r="L195"/>
  <c r="G194"/>
  <c r="J194"/>
  <c r="H194"/>
  <c r="E194"/>
  <c r="K194"/>
  <c r="F194"/>
  <c r="D194"/>
  <c r="I194"/>
  <c r="E195" l="1"/>
  <c r="G195"/>
  <c r="F195"/>
  <c r="D195"/>
  <c r="I195"/>
  <c r="K195"/>
  <c r="J195"/>
  <c r="H195"/>
  <c r="B197"/>
  <c r="N196"/>
  <c r="M196"/>
  <c r="C196"/>
  <c r="L196"/>
  <c r="M197" l="1"/>
  <c r="B198"/>
  <c r="N197"/>
  <c r="C197"/>
  <c r="L197"/>
  <c r="G196"/>
  <c r="F196"/>
  <c r="D196"/>
  <c r="E196"/>
  <c r="K196"/>
  <c r="J196"/>
  <c r="H196"/>
  <c r="I196"/>
  <c r="D197" l="1"/>
  <c r="K197"/>
  <c r="I197"/>
  <c r="J197"/>
  <c r="G197"/>
  <c r="E197"/>
  <c r="H197"/>
  <c r="F197"/>
  <c r="M198"/>
  <c r="B199"/>
  <c r="N198"/>
  <c r="C198"/>
  <c r="L198"/>
  <c r="K198" l="1"/>
  <c r="I198"/>
  <c r="H198"/>
  <c r="J198"/>
  <c r="G198"/>
  <c r="E198"/>
  <c r="D198"/>
  <c r="F198"/>
  <c r="B200"/>
  <c r="M199"/>
  <c r="N199"/>
  <c r="C199"/>
  <c r="L199"/>
  <c r="M200" l="1"/>
  <c r="B201"/>
  <c r="N200"/>
  <c r="C200"/>
  <c r="L200"/>
  <c r="E199"/>
  <c r="G199"/>
  <c r="F199"/>
  <c r="D199"/>
  <c r="K199"/>
  <c r="I199"/>
  <c r="J199"/>
  <c r="H199"/>
  <c r="E200" l="1"/>
  <c r="G200"/>
  <c r="D200"/>
  <c r="F200"/>
  <c r="I200"/>
  <c r="K200"/>
  <c r="H200"/>
  <c r="J200"/>
  <c r="B202"/>
  <c r="N201"/>
  <c r="M201"/>
  <c r="C201"/>
  <c r="L201"/>
  <c r="M202" l="1"/>
  <c r="B203"/>
  <c r="N202"/>
  <c r="C202"/>
  <c r="L202"/>
  <c r="E201"/>
  <c r="K201"/>
  <c r="J201"/>
  <c r="D201"/>
  <c r="G201"/>
  <c r="F201"/>
  <c r="I201"/>
  <c r="H201"/>
  <c r="K202" l="1"/>
  <c r="I202"/>
  <c r="H202"/>
  <c r="J202"/>
  <c r="G202"/>
  <c r="E202"/>
  <c r="D202"/>
  <c r="F202"/>
  <c r="B204"/>
  <c r="M203"/>
  <c r="N203"/>
  <c r="C203"/>
  <c r="L203"/>
  <c r="M204" l="1"/>
  <c r="B205"/>
  <c r="N204"/>
  <c r="C204"/>
  <c r="L204"/>
  <c r="E203"/>
  <c r="G203"/>
  <c r="F203"/>
  <c r="D203"/>
  <c r="K203"/>
  <c r="I203"/>
  <c r="J203"/>
  <c r="H203"/>
  <c r="E204" l="1"/>
  <c r="G204"/>
  <c r="D204"/>
  <c r="F204"/>
  <c r="I204"/>
  <c r="K204"/>
  <c r="H204"/>
  <c r="J204"/>
  <c r="B206"/>
  <c r="M205"/>
  <c r="N205"/>
  <c r="C205"/>
  <c r="L205"/>
  <c r="M206" l="1"/>
  <c r="B207"/>
  <c r="N206"/>
  <c r="C206"/>
  <c r="L206"/>
  <c r="E205"/>
  <c r="K205"/>
  <c r="J205"/>
  <c r="D205"/>
  <c r="G205"/>
  <c r="F205"/>
  <c r="I205"/>
  <c r="H205"/>
  <c r="K206" l="1"/>
  <c r="I206"/>
  <c r="H206"/>
  <c r="J206"/>
  <c r="G206"/>
  <c r="E206"/>
  <c r="D206"/>
  <c r="F206"/>
  <c r="B208"/>
  <c r="M207"/>
  <c r="N207"/>
  <c r="C207"/>
  <c r="L207"/>
  <c r="M208" l="1"/>
  <c r="B209"/>
  <c r="N208"/>
  <c r="C208"/>
  <c r="L208"/>
  <c r="E207"/>
  <c r="G207"/>
  <c r="F207"/>
  <c r="D207"/>
  <c r="K207"/>
  <c r="I207"/>
  <c r="J207"/>
  <c r="H207"/>
  <c r="E208" l="1"/>
  <c r="G208"/>
  <c r="D208"/>
  <c r="F208"/>
  <c r="I208"/>
  <c r="K208"/>
  <c r="H208"/>
  <c r="J208"/>
  <c r="B210"/>
  <c r="N209"/>
  <c r="M209"/>
  <c r="C209"/>
  <c r="L209"/>
  <c r="M210" l="1"/>
  <c r="B211"/>
  <c r="N210"/>
  <c r="C210"/>
  <c r="L210"/>
  <c r="E209"/>
  <c r="K209"/>
  <c r="J209"/>
  <c r="D209"/>
  <c r="G209"/>
  <c r="F209"/>
  <c r="I209"/>
  <c r="H209"/>
  <c r="K210" l="1"/>
  <c r="I210"/>
  <c r="H210"/>
  <c r="J210"/>
  <c r="G210"/>
  <c r="E210"/>
  <c r="D210"/>
  <c r="F210"/>
  <c r="B212"/>
  <c r="M211"/>
  <c r="N211"/>
  <c r="C211"/>
  <c r="L211"/>
  <c r="M212" l="1"/>
  <c r="B213"/>
  <c r="N212"/>
  <c r="C212"/>
  <c r="L212"/>
  <c r="E211"/>
  <c r="G211"/>
  <c r="F211"/>
  <c r="D211"/>
  <c r="K211"/>
  <c r="I211"/>
  <c r="J211"/>
  <c r="H211"/>
  <c r="E212" l="1"/>
  <c r="G212"/>
  <c r="D212"/>
  <c r="F212"/>
  <c r="I212"/>
  <c r="K212"/>
  <c r="H212"/>
  <c r="J212"/>
  <c r="B214"/>
  <c r="M213"/>
  <c r="N213"/>
  <c r="C213"/>
  <c r="L213"/>
  <c r="M214" l="1"/>
  <c r="B215"/>
  <c r="N214"/>
  <c r="C214"/>
  <c r="L214"/>
  <c r="E213"/>
  <c r="K213"/>
  <c r="J213"/>
  <c r="D213"/>
  <c r="G213"/>
  <c r="F213"/>
  <c r="I213"/>
  <c r="H213"/>
  <c r="K214" l="1"/>
  <c r="I214"/>
  <c r="H214"/>
  <c r="J214"/>
  <c r="G214"/>
  <c r="E214"/>
  <c r="D214"/>
  <c r="F214"/>
  <c r="B216"/>
  <c r="M215"/>
  <c r="N215"/>
  <c r="C215"/>
  <c r="L215"/>
  <c r="M216" l="1"/>
  <c r="B217"/>
  <c r="N216"/>
  <c r="C216"/>
  <c r="L216"/>
  <c r="E215"/>
  <c r="G215"/>
  <c r="F215"/>
  <c r="D215"/>
  <c r="K215"/>
  <c r="I215"/>
  <c r="J215"/>
  <c r="H215"/>
  <c r="E216" l="1"/>
  <c r="G216"/>
  <c r="D216"/>
  <c r="F216"/>
  <c r="I216"/>
  <c r="K216"/>
  <c r="H216"/>
  <c r="J216"/>
  <c r="B218"/>
  <c r="N217"/>
  <c r="M217"/>
  <c r="C217"/>
  <c r="L217"/>
  <c r="M218" l="1"/>
  <c r="B219"/>
  <c r="N218"/>
  <c r="C218"/>
  <c r="L218"/>
  <c r="E217"/>
  <c r="K217"/>
  <c r="J217"/>
  <c r="D217"/>
  <c r="G217"/>
  <c r="F217"/>
  <c r="I217"/>
  <c r="H217"/>
  <c r="G218" l="1"/>
  <c r="E218"/>
  <c r="D218"/>
  <c r="K218"/>
  <c r="I218"/>
  <c r="H218"/>
  <c r="J218"/>
  <c r="F218"/>
  <c r="B220"/>
  <c r="M219"/>
  <c r="N219"/>
  <c r="C219"/>
  <c r="L219"/>
  <c r="M220" l="1"/>
  <c r="B221"/>
  <c r="N220"/>
  <c r="C220"/>
  <c r="L220"/>
  <c r="E219"/>
  <c r="G219"/>
  <c r="F219"/>
  <c r="D219"/>
  <c r="K219"/>
  <c r="I219"/>
  <c r="J219"/>
  <c r="H219"/>
  <c r="E220" l="1"/>
  <c r="G220"/>
  <c r="D220"/>
  <c r="F220"/>
  <c r="I220"/>
  <c r="K220"/>
  <c r="H220"/>
  <c r="J220"/>
  <c r="B222"/>
  <c r="M221"/>
  <c r="N221"/>
  <c r="C221"/>
  <c r="L221"/>
  <c r="M222" l="1"/>
  <c r="B223"/>
  <c r="N222"/>
  <c r="C222"/>
  <c r="L222"/>
  <c r="E221"/>
  <c r="K221"/>
  <c r="J221"/>
  <c r="D221"/>
  <c r="G221"/>
  <c r="F221"/>
  <c r="I221"/>
  <c r="H221"/>
  <c r="G222" l="1"/>
  <c r="E222"/>
  <c r="D222"/>
  <c r="F222"/>
  <c r="K222"/>
  <c r="I222"/>
  <c r="H222"/>
  <c r="J222"/>
  <c r="B224"/>
  <c r="M223"/>
  <c r="N223"/>
  <c r="C223"/>
  <c r="L223"/>
  <c r="M224" l="1"/>
  <c r="B225"/>
  <c r="N224"/>
  <c r="C224"/>
  <c r="L224"/>
  <c r="E223"/>
  <c r="G223"/>
  <c r="F223"/>
  <c r="D223"/>
  <c r="K223"/>
  <c r="I223"/>
  <c r="J223"/>
  <c r="H223"/>
  <c r="E224" l="1"/>
  <c r="G224"/>
  <c r="D224"/>
  <c r="F224"/>
  <c r="I224"/>
  <c r="K224"/>
  <c r="H224"/>
  <c r="J224"/>
  <c r="B226"/>
  <c r="N225"/>
  <c r="M225"/>
  <c r="C225"/>
  <c r="L225"/>
  <c r="M226" l="1"/>
  <c r="B227"/>
  <c r="N226"/>
  <c r="C226"/>
  <c r="L226"/>
  <c r="E225"/>
  <c r="K225"/>
  <c r="J225"/>
  <c r="D225"/>
  <c r="G225"/>
  <c r="F225"/>
  <c r="I225"/>
  <c r="H225"/>
  <c r="G226" l="1"/>
  <c r="E226"/>
  <c r="D226"/>
  <c r="F226"/>
  <c r="K226"/>
  <c r="I226"/>
  <c r="H226"/>
  <c r="J226"/>
  <c r="B228"/>
  <c r="M227"/>
  <c r="N227"/>
  <c r="C227"/>
  <c r="L227"/>
  <c r="M228" l="1"/>
  <c r="B229"/>
  <c r="N228"/>
  <c r="C228"/>
  <c r="L228"/>
  <c r="E227"/>
  <c r="G227"/>
  <c r="F227"/>
  <c r="D227"/>
  <c r="K227"/>
  <c r="I227"/>
  <c r="J227"/>
  <c r="H227"/>
  <c r="E228" l="1"/>
  <c r="G228"/>
  <c r="D228"/>
  <c r="F228"/>
  <c r="I228"/>
  <c r="K228"/>
  <c r="H228"/>
  <c r="J228"/>
  <c r="B230"/>
  <c r="M229"/>
  <c r="N229"/>
  <c r="C229"/>
  <c r="L229"/>
  <c r="M230" l="1"/>
  <c r="B231"/>
  <c r="N230"/>
  <c r="C230"/>
  <c r="L230"/>
  <c r="E229"/>
  <c r="K229"/>
  <c r="J229"/>
  <c r="D229"/>
  <c r="G229"/>
  <c r="F229"/>
  <c r="I229"/>
  <c r="H229"/>
  <c r="G230" l="1"/>
  <c r="E230"/>
  <c r="D230"/>
  <c r="F230"/>
  <c r="K230"/>
  <c r="I230"/>
  <c r="H230"/>
  <c r="J230"/>
  <c r="B232"/>
  <c r="M231"/>
  <c r="N231"/>
  <c r="C231"/>
  <c r="L231"/>
  <c r="M232" l="1"/>
  <c r="B233"/>
  <c r="N232"/>
  <c r="C232"/>
  <c r="L232"/>
  <c r="E231"/>
  <c r="G231"/>
  <c r="F231"/>
  <c r="D231"/>
  <c r="K231"/>
  <c r="I231"/>
  <c r="J231"/>
  <c r="H231"/>
  <c r="E232" l="1"/>
  <c r="G232"/>
  <c r="D232"/>
  <c r="F232"/>
  <c r="I232"/>
  <c r="K232"/>
  <c r="H232"/>
  <c r="J232"/>
  <c r="B234"/>
  <c r="N233"/>
  <c r="M233"/>
  <c r="C233"/>
  <c r="L233"/>
  <c r="M234" l="1"/>
  <c r="B235"/>
  <c r="N234"/>
  <c r="C234"/>
  <c r="L234"/>
  <c r="E233"/>
  <c r="K233"/>
  <c r="J233"/>
  <c r="D233"/>
  <c r="G233"/>
  <c r="F233"/>
  <c r="I233"/>
  <c r="H233"/>
  <c r="G234" l="1"/>
  <c r="E234"/>
  <c r="D234"/>
  <c r="F234"/>
  <c r="K234"/>
  <c r="I234"/>
  <c r="H234"/>
  <c r="J234"/>
  <c r="B236"/>
  <c r="M235"/>
  <c r="N235"/>
  <c r="C235"/>
  <c r="L235"/>
  <c r="M236" l="1"/>
  <c r="B237"/>
  <c r="N236"/>
  <c r="C236"/>
  <c r="L236"/>
  <c r="E235"/>
  <c r="G235"/>
  <c r="F235"/>
  <c r="D235"/>
  <c r="K235"/>
  <c r="I235"/>
  <c r="J235"/>
  <c r="H235"/>
  <c r="E236" l="1"/>
  <c r="G236"/>
  <c r="D236"/>
  <c r="F236"/>
  <c r="I236"/>
  <c r="K236"/>
  <c r="H236"/>
  <c r="J236"/>
  <c r="B238"/>
  <c r="M237"/>
  <c r="N237"/>
  <c r="C237"/>
  <c r="L237"/>
  <c r="M238" l="1"/>
  <c r="B239"/>
  <c r="N238"/>
  <c r="C238"/>
  <c r="L238"/>
  <c r="E237"/>
  <c r="K237"/>
  <c r="J237"/>
  <c r="D237"/>
  <c r="G237"/>
  <c r="F237"/>
  <c r="I237"/>
  <c r="H237"/>
  <c r="G238" l="1"/>
  <c r="E238"/>
  <c r="D238"/>
  <c r="F238"/>
  <c r="K238"/>
  <c r="I238"/>
  <c r="H238"/>
  <c r="J238"/>
  <c r="B240"/>
  <c r="M239"/>
  <c r="N239"/>
  <c r="C239"/>
  <c r="L239"/>
  <c r="M240" l="1"/>
  <c r="B241"/>
  <c r="N240"/>
  <c r="C240"/>
  <c r="L240"/>
  <c r="E239"/>
  <c r="G239"/>
  <c r="F239"/>
  <c r="D239"/>
  <c r="K239"/>
  <c r="I239"/>
  <c r="J239"/>
  <c r="H239"/>
  <c r="E240" l="1"/>
  <c r="G240"/>
  <c r="D240"/>
  <c r="F240"/>
  <c r="I240"/>
  <c r="K240"/>
  <c r="H240"/>
  <c r="J240"/>
  <c r="B242"/>
  <c r="N241"/>
  <c r="M241"/>
  <c r="C241"/>
  <c r="L241"/>
  <c r="M242" l="1"/>
  <c r="B243"/>
  <c r="N242"/>
  <c r="C242"/>
  <c r="L242"/>
  <c r="E241"/>
  <c r="K241"/>
  <c r="J241"/>
  <c r="D241"/>
  <c r="G241"/>
  <c r="F241"/>
  <c r="I241"/>
  <c r="H241"/>
  <c r="G242" l="1"/>
  <c r="E242"/>
  <c r="D242"/>
  <c r="F242"/>
  <c r="K242"/>
  <c r="I242"/>
  <c r="H242"/>
  <c r="J242"/>
  <c r="B244"/>
  <c r="M243"/>
  <c r="N243"/>
  <c r="C243"/>
  <c r="L243"/>
  <c r="M244" l="1"/>
  <c r="B245"/>
  <c r="N244"/>
  <c r="C244"/>
  <c r="L244"/>
  <c r="E243"/>
  <c r="G243"/>
  <c r="F243"/>
  <c r="D243"/>
  <c r="K243"/>
  <c r="I243"/>
  <c r="J243"/>
  <c r="H243"/>
  <c r="E244" l="1"/>
  <c r="G244"/>
  <c r="D244"/>
  <c r="F244"/>
  <c r="I244"/>
  <c r="K244"/>
  <c r="H244"/>
  <c r="J244"/>
  <c r="B246"/>
  <c r="N245"/>
  <c r="M245"/>
  <c r="C245"/>
  <c r="L245"/>
  <c r="M246" l="1"/>
  <c r="B247"/>
  <c r="N246"/>
  <c r="C246"/>
  <c r="L246"/>
  <c r="G245"/>
  <c r="F245"/>
  <c r="I245"/>
  <c r="H245"/>
  <c r="K245"/>
  <c r="J245"/>
  <c r="D245"/>
  <c r="E245"/>
  <c r="G246" l="1"/>
  <c r="E246"/>
  <c r="D246"/>
  <c r="F246"/>
  <c r="K246"/>
  <c r="I246"/>
  <c r="H246"/>
  <c r="J246"/>
  <c r="B248"/>
  <c r="N247"/>
  <c r="M247"/>
  <c r="C247"/>
  <c r="L247"/>
  <c r="M248" l="1"/>
  <c r="B249"/>
  <c r="N248"/>
  <c r="C248"/>
  <c r="L248"/>
  <c r="K247"/>
  <c r="D247"/>
  <c r="E247"/>
  <c r="J247"/>
  <c r="G247"/>
  <c r="H247"/>
  <c r="F247"/>
  <c r="I247"/>
  <c r="E248" l="1"/>
  <c r="G248"/>
  <c r="D248"/>
  <c r="F248"/>
  <c r="I248"/>
  <c r="K248"/>
  <c r="H248"/>
  <c r="J248"/>
  <c r="B250"/>
  <c r="N249"/>
  <c r="M249"/>
  <c r="C249"/>
  <c r="L249"/>
  <c r="M250" l="1"/>
  <c r="B251"/>
  <c r="N250"/>
  <c r="C250"/>
  <c r="L250"/>
  <c r="G249"/>
  <c r="F249"/>
  <c r="I249"/>
  <c r="H249"/>
  <c r="K249"/>
  <c r="J249"/>
  <c r="D249"/>
  <c r="E249"/>
  <c r="G250" l="1"/>
  <c r="E250"/>
  <c r="D250"/>
  <c r="F250"/>
  <c r="K250"/>
  <c r="I250"/>
  <c r="H250"/>
  <c r="J250"/>
  <c r="B252"/>
  <c r="N251"/>
  <c r="M251"/>
  <c r="C251"/>
  <c r="L251"/>
  <c r="M252" l="1"/>
  <c r="B253"/>
  <c r="N252"/>
  <c r="C252"/>
  <c r="L252"/>
  <c r="K251"/>
  <c r="D251"/>
  <c r="E251"/>
  <c r="J251"/>
  <c r="G251"/>
  <c r="H251"/>
  <c r="F251"/>
  <c r="I251"/>
  <c r="E252" l="1"/>
  <c r="K252"/>
  <c r="D252"/>
  <c r="F252"/>
  <c r="G252"/>
  <c r="I252"/>
  <c r="H252"/>
  <c r="J252"/>
  <c r="B254"/>
  <c r="N253"/>
  <c r="M253"/>
  <c r="C253"/>
  <c r="L253"/>
  <c r="M254" l="1"/>
  <c r="B255"/>
  <c r="N254"/>
  <c r="C254"/>
  <c r="L254"/>
  <c r="G253"/>
  <c r="F253"/>
  <c r="I253"/>
  <c r="H253"/>
  <c r="K253"/>
  <c r="J253"/>
  <c r="D253"/>
  <c r="E253"/>
  <c r="G254" l="1"/>
  <c r="E254"/>
  <c r="D254"/>
  <c r="F254"/>
  <c r="K254"/>
  <c r="I254"/>
  <c r="H254"/>
  <c r="J254"/>
  <c r="B256"/>
  <c r="N255"/>
  <c r="M255"/>
  <c r="C255"/>
  <c r="L255"/>
  <c r="M256" l="1"/>
  <c r="B257"/>
  <c r="N256"/>
  <c r="C256"/>
  <c r="L256"/>
  <c r="K255"/>
  <c r="D255"/>
  <c r="E255"/>
  <c r="J255"/>
  <c r="G255"/>
  <c r="H255"/>
  <c r="F255"/>
  <c r="I255"/>
  <c r="E256" l="1"/>
  <c r="G256"/>
  <c r="D256"/>
  <c r="F256"/>
  <c r="I256"/>
  <c r="K256"/>
  <c r="H256"/>
  <c r="J256"/>
  <c r="B258"/>
  <c r="N257"/>
  <c r="M257"/>
  <c r="C257"/>
  <c r="L257"/>
  <c r="M258" l="1"/>
  <c r="B259"/>
  <c r="N258"/>
  <c r="C258"/>
  <c r="L258"/>
  <c r="G257"/>
  <c r="F257"/>
  <c r="I257"/>
  <c r="H257"/>
  <c r="K257"/>
  <c r="J257"/>
  <c r="D257"/>
  <c r="E257"/>
  <c r="G258" l="1"/>
  <c r="E258"/>
  <c r="D258"/>
  <c r="F258"/>
  <c r="K258"/>
  <c r="I258"/>
  <c r="H258"/>
  <c r="J258"/>
  <c r="B260"/>
  <c r="N259"/>
  <c r="M259"/>
  <c r="C259"/>
  <c r="L259"/>
  <c r="M260" l="1"/>
  <c r="B261"/>
  <c r="N260"/>
  <c r="C260"/>
  <c r="L260"/>
  <c r="K259"/>
  <c r="D259"/>
  <c r="E259"/>
  <c r="J259"/>
  <c r="G259"/>
  <c r="H259"/>
  <c r="F259"/>
  <c r="I259"/>
  <c r="E260" l="1"/>
  <c r="G260"/>
  <c r="D260"/>
  <c r="F260"/>
  <c r="I260"/>
  <c r="K260"/>
  <c r="H260"/>
  <c r="J260"/>
  <c r="B262"/>
  <c r="N261"/>
  <c r="M261"/>
  <c r="C261"/>
  <c r="L261"/>
  <c r="N262" l="1"/>
  <c r="B263"/>
  <c r="M262"/>
  <c r="C262"/>
  <c r="L262"/>
  <c r="G261"/>
  <c r="F261"/>
  <c r="I261"/>
  <c r="H261"/>
  <c r="K261"/>
  <c r="J261"/>
  <c r="D261"/>
  <c r="E261"/>
  <c r="E262" l="1"/>
  <c r="J262"/>
  <c r="H262"/>
  <c r="K262"/>
  <c r="G262"/>
  <c r="D262"/>
  <c r="F262"/>
  <c r="I262"/>
  <c r="C263"/>
  <c r="N263"/>
  <c r="M263"/>
  <c r="B264"/>
  <c r="L263"/>
  <c r="G263" l="1"/>
  <c r="K263"/>
  <c r="J263"/>
  <c r="H263"/>
  <c r="E263"/>
  <c r="I263"/>
  <c r="F263"/>
  <c r="D263"/>
  <c r="C264"/>
  <c r="L264"/>
  <c r="N264"/>
  <c r="M264"/>
  <c r="B265"/>
  <c r="C265" l="1"/>
  <c r="N265"/>
  <c r="B266"/>
  <c r="M265"/>
  <c r="L265"/>
  <c r="E264"/>
  <c r="I264"/>
  <c r="D264"/>
  <c r="F264"/>
  <c r="G264"/>
  <c r="K264"/>
  <c r="H264"/>
  <c r="J264"/>
  <c r="M266" l="1"/>
  <c r="B267"/>
  <c r="C266"/>
  <c r="L266"/>
  <c r="N266"/>
  <c r="E265"/>
  <c r="I265"/>
  <c r="F265"/>
  <c r="D265"/>
  <c r="G265"/>
  <c r="K265"/>
  <c r="J265"/>
  <c r="H265"/>
  <c r="E266" l="1"/>
  <c r="I266"/>
  <c r="D266"/>
  <c r="F266"/>
  <c r="G266"/>
  <c r="K266"/>
  <c r="H266"/>
  <c r="J266"/>
  <c r="M267"/>
  <c r="L267"/>
  <c r="C267"/>
  <c r="N267"/>
  <c r="B268"/>
  <c r="M268" l="1"/>
  <c r="B269"/>
  <c r="C268"/>
  <c r="L268"/>
  <c r="N268"/>
  <c r="E267"/>
  <c r="I267"/>
  <c r="F267"/>
  <c r="D267"/>
  <c r="G267"/>
  <c r="K267"/>
  <c r="J267"/>
  <c r="H267"/>
  <c r="G268" l="1"/>
  <c r="K268"/>
  <c r="H268"/>
  <c r="J268"/>
  <c r="E268"/>
  <c r="I268"/>
  <c r="D268"/>
  <c r="F268"/>
  <c r="M269"/>
  <c r="L269"/>
  <c r="C269"/>
  <c r="N269"/>
  <c r="B270"/>
  <c r="M270" l="1"/>
  <c r="B271"/>
  <c r="C270"/>
  <c r="L270"/>
  <c r="N270"/>
  <c r="E269"/>
  <c r="I269"/>
  <c r="F269"/>
  <c r="D269"/>
  <c r="G269"/>
  <c r="K269"/>
  <c r="J269"/>
  <c r="H269"/>
  <c r="G270" l="1"/>
  <c r="K270"/>
  <c r="H270"/>
  <c r="J270"/>
  <c r="E270"/>
  <c r="I270"/>
  <c r="D270"/>
  <c r="F270"/>
  <c r="M271"/>
  <c r="L271"/>
  <c r="C271"/>
  <c r="N271"/>
  <c r="B272"/>
  <c r="M272" l="1"/>
  <c r="B273"/>
  <c r="C272"/>
  <c r="L272"/>
  <c r="N272"/>
  <c r="E271"/>
  <c r="I271"/>
  <c r="F271"/>
  <c r="D271"/>
  <c r="G271"/>
  <c r="K271"/>
  <c r="J271"/>
  <c r="H271"/>
  <c r="G272" l="1"/>
  <c r="K272"/>
  <c r="H272"/>
  <c r="J272"/>
  <c r="E272"/>
  <c r="I272"/>
  <c r="D272"/>
  <c r="F272"/>
  <c r="M273"/>
  <c r="L273"/>
  <c r="C273"/>
  <c r="N273"/>
  <c r="B274"/>
  <c r="M274" l="1"/>
  <c r="B275"/>
  <c r="C274"/>
  <c r="L274"/>
  <c r="N274"/>
  <c r="E273"/>
  <c r="I273"/>
  <c r="F273"/>
  <c r="D273"/>
  <c r="G273"/>
  <c r="K273"/>
  <c r="J273"/>
  <c r="H273"/>
  <c r="G274" l="1"/>
  <c r="K274"/>
  <c r="H274"/>
  <c r="J274"/>
  <c r="E274"/>
  <c r="I274"/>
  <c r="D274"/>
  <c r="F274"/>
  <c r="M275"/>
  <c r="L275"/>
  <c r="C275"/>
  <c r="N275"/>
  <c r="B276"/>
  <c r="M276" l="1"/>
  <c r="B277"/>
  <c r="C276"/>
  <c r="L276"/>
  <c r="N276"/>
  <c r="E275"/>
  <c r="I275"/>
  <c r="F275"/>
  <c r="D275"/>
  <c r="G275"/>
  <c r="K275"/>
  <c r="J275"/>
  <c r="H275"/>
  <c r="G276" l="1"/>
  <c r="K276"/>
  <c r="H276"/>
  <c r="J276"/>
  <c r="E276"/>
  <c r="I276"/>
  <c r="D276"/>
  <c r="F276"/>
  <c r="M277"/>
  <c r="L277"/>
  <c r="C277"/>
  <c r="N277"/>
  <c r="B278"/>
  <c r="M278" l="1"/>
  <c r="B279"/>
  <c r="C278"/>
  <c r="L278"/>
  <c r="N278"/>
  <c r="E277"/>
  <c r="I277"/>
  <c r="F277"/>
  <c r="D277"/>
  <c r="G277"/>
  <c r="K277"/>
  <c r="J277"/>
  <c r="H277"/>
  <c r="G278" l="1"/>
  <c r="K278"/>
  <c r="H278"/>
  <c r="J278"/>
  <c r="E278"/>
  <c r="I278"/>
  <c r="D278"/>
  <c r="F278"/>
  <c r="M279"/>
  <c r="L279"/>
  <c r="C279"/>
  <c r="N279"/>
  <c r="B280"/>
  <c r="M280" l="1"/>
  <c r="B281"/>
  <c r="C280"/>
  <c r="L280"/>
  <c r="N280"/>
  <c r="E279"/>
  <c r="I279"/>
  <c r="F279"/>
  <c r="D279"/>
  <c r="G279"/>
  <c r="K279"/>
  <c r="J279"/>
  <c r="H279"/>
  <c r="G280" l="1"/>
  <c r="K280"/>
  <c r="H280"/>
  <c r="J280"/>
  <c r="E280"/>
  <c r="I280"/>
  <c r="D280"/>
  <c r="F280"/>
  <c r="M281"/>
  <c r="L281"/>
  <c r="C281"/>
  <c r="N281"/>
  <c r="B282"/>
  <c r="M282" l="1"/>
  <c r="B283"/>
  <c r="C282"/>
  <c r="L282"/>
  <c r="N282"/>
  <c r="E281"/>
  <c r="I281"/>
  <c r="F281"/>
  <c r="D281"/>
  <c r="G281"/>
  <c r="K281"/>
  <c r="J281"/>
  <c r="H281"/>
  <c r="G282" l="1"/>
  <c r="K282"/>
  <c r="H282"/>
  <c r="J282"/>
  <c r="E282"/>
  <c r="I282"/>
  <c r="D282"/>
  <c r="F282"/>
  <c r="M283"/>
  <c r="L283"/>
  <c r="C283"/>
  <c r="N283"/>
  <c r="B284"/>
  <c r="M284" l="1"/>
  <c r="B285"/>
  <c r="C284"/>
  <c r="L284"/>
  <c r="N284"/>
  <c r="E283"/>
  <c r="I283"/>
  <c r="F283"/>
  <c r="D283"/>
  <c r="G283"/>
  <c r="K283"/>
  <c r="J283"/>
  <c r="H283"/>
  <c r="G284" l="1"/>
  <c r="K284"/>
  <c r="H284"/>
  <c r="J284"/>
  <c r="E284"/>
  <c r="I284"/>
  <c r="D284"/>
  <c r="F284"/>
  <c r="M285"/>
  <c r="L285"/>
  <c r="C285"/>
  <c r="N285"/>
  <c r="B286"/>
  <c r="M286" l="1"/>
  <c r="B287"/>
  <c r="C286"/>
  <c r="L286"/>
  <c r="N286"/>
  <c r="E285"/>
  <c r="I285"/>
  <c r="F285"/>
  <c r="D285"/>
  <c r="G285"/>
  <c r="K285"/>
  <c r="J285"/>
  <c r="H285"/>
  <c r="G286" l="1"/>
  <c r="K286"/>
  <c r="H286"/>
  <c r="J286"/>
  <c r="E286"/>
  <c r="I286"/>
  <c r="D286"/>
  <c r="F286"/>
  <c r="M287"/>
  <c r="L287"/>
  <c r="C287"/>
  <c r="N287"/>
  <c r="B288"/>
  <c r="M288" l="1"/>
  <c r="B289"/>
  <c r="C288"/>
  <c r="L288"/>
  <c r="N288"/>
  <c r="E287"/>
  <c r="I287"/>
  <c r="F287"/>
  <c r="D287"/>
  <c r="G287"/>
  <c r="K287"/>
  <c r="J287"/>
  <c r="H287"/>
  <c r="G288" l="1"/>
  <c r="K288"/>
  <c r="H288"/>
  <c r="J288"/>
  <c r="E288"/>
  <c r="I288"/>
  <c r="D288"/>
  <c r="F288"/>
  <c r="M289"/>
  <c r="L289"/>
  <c r="C289"/>
  <c r="N289"/>
  <c r="B290"/>
  <c r="M290" l="1"/>
  <c r="B291"/>
  <c r="C290"/>
  <c r="L290"/>
  <c r="N290"/>
  <c r="E289"/>
  <c r="I289"/>
  <c r="F289"/>
  <c r="D289"/>
  <c r="G289"/>
  <c r="K289"/>
  <c r="J289"/>
  <c r="H289"/>
  <c r="G290" l="1"/>
  <c r="K290"/>
  <c r="H290"/>
  <c r="J290"/>
  <c r="E290"/>
  <c r="I290"/>
  <c r="D290"/>
  <c r="F290"/>
  <c r="M291"/>
  <c r="L291"/>
  <c r="C291"/>
  <c r="N291"/>
  <c r="B292"/>
  <c r="C292" l="1"/>
  <c r="L292"/>
  <c r="N292"/>
  <c r="M292"/>
  <c r="B293"/>
  <c r="G291"/>
  <c r="K291"/>
  <c r="J291"/>
  <c r="H291"/>
  <c r="E291"/>
  <c r="I291"/>
  <c r="F291"/>
  <c r="D291"/>
  <c r="M293" l="1"/>
  <c r="L293"/>
  <c r="C293"/>
  <c r="N293"/>
  <c r="B294"/>
  <c r="G292"/>
  <c r="K292"/>
  <c r="H292"/>
  <c r="J292"/>
  <c r="E292"/>
  <c r="I292"/>
  <c r="D292"/>
  <c r="F292"/>
  <c r="M294" l="1"/>
  <c r="B295"/>
  <c r="C294"/>
  <c r="L294"/>
  <c r="N294"/>
  <c r="E293"/>
  <c r="I293"/>
  <c r="F293"/>
  <c r="D293"/>
  <c r="G293"/>
  <c r="K293"/>
  <c r="J293"/>
  <c r="H293"/>
  <c r="G294" l="1"/>
  <c r="K294"/>
  <c r="H294"/>
  <c r="J294"/>
  <c r="E294"/>
  <c r="I294"/>
  <c r="D294"/>
  <c r="F294"/>
  <c r="M295"/>
  <c r="B296"/>
  <c r="C295"/>
  <c r="N295"/>
  <c r="L295"/>
  <c r="G295" l="1"/>
  <c r="K295"/>
  <c r="J295"/>
  <c r="H295"/>
  <c r="E295"/>
  <c r="I295"/>
  <c r="F295"/>
  <c r="D295"/>
  <c r="M296"/>
  <c r="B297"/>
  <c r="C296"/>
  <c r="L296"/>
  <c r="N296"/>
  <c r="G296" l="1"/>
  <c r="K296"/>
  <c r="H296"/>
  <c r="J296"/>
  <c r="E296"/>
  <c r="I296"/>
  <c r="D296"/>
  <c r="F296"/>
  <c r="M297"/>
  <c r="L297"/>
  <c r="C297"/>
  <c r="N297"/>
  <c r="B298"/>
  <c r="M298" l="1"/>
  <c r="B299"/>
  <c r="C298"/>
  <c r="L298"/>
  <c r="N298"/>
  <c r="E297"/>
  <c r="I297"/>
  <c r="F297"/>
  <c r="D297"/>
  <c r="G297"/>
  <c r="K297"/>
  <c r="J297"/>
  <c r="H297"/>
  <c r="G298" l="1"/>
  <c r="K298"/>
  <c r="H298"/>
  <c r="J298"/>
  <c r="E298"/>
  <c r="I298"/>
  <c r="D298"/>
  <c r="F298"/>
  <c r="M299"/>
  <c r="B300"/>
  <c r="C299"/>
  <c r="N299"/>
  <c r="L299"/>
  <c r="G299" l="1"/>
  <c r="K299"/>
  <c r="J299"/>
  <c r="H299"/>
  <c r="E299"/>
  <c r="I299"/>
  <c r="F299"/>
  <c r="D299"/>
  <c r="M300"/>
  <c r="B301"/>
  <c r="C300"/>
  <c r="L300"/>
  <c r="N300"/>
  <c r="G300" l="1"/>
  <c r="K300"/>
  <c r="H300"/>
  <c r="F300"/>
  <c r="E300"/>
  <c r="I300"/>
  <c r="D300"/>
  <c r="J300"/>
  <c r="M301"/>
  <c r="B302"/>
  <c r="C301"/>
  <c r="N301"/>
  <c r="L301"/>
  <c r="G301" l="1"/>
  <c r="K301"/>
  <c r="J301"/>
  <c r="H301"/>
  <c r="E301"/>
  <c r="I301"/>
  <c r="F301"/>
  <c r="D301"/>
  <c r="M302"/>
  <c r="B303"/>
  <c r="C302"/>
  <c r="L302"/>
  <c r="N302"/>
  <c r="G302" l="1"/>
  <c r="K302"/>
  <c r="H302"/>
  <c r="J302"/>
  <c r="E302"/>
  <c r="I302"/>
  <c r="D302"/>
  <c r="F302"/>
  <c r="M303"/>
  <c r="L303"/>
  <c r="C303"/>
  <c r="N303"/>
  <c r="B304"/>
  <c r="M304" l="1"/>
  <c r="B305"/>
  <c r="C304"/>
  <c r="L304"/>
  <c r="N304"/>
  <c r="E303"/>
  <c r="I303"/>
  <c r="F303"/>
  <c r="D303"/>
  <c r="G303"/>
  <c r="K303"/>
  <c r="J303"/>
  <c r="H303"/>
  <c r="G304" l="1"/>
  <c r="K304"/>
  <c r="H304"/>
  <c r="J304"/>
  <c r="E304"/>
  <c r="I304"/>
  <c r="D304"/>
  <c r="F304"/>
  <c r="M305"/>
  <c r="L305"/>
  <c r="C305"/>
  <c r="N305"/>
  <c r="B306"/>
  <c r="M306" l="1"/>
  <c r="B307"/>
  <c r="C306"/>
  <c r="L306"/>
  <c r="N306"/>
  <c r="E305"/>
  <c r="I305"/>
  <c r="F305"/>
  <c r="D305"/>
  <c r="G305"/>
  <c r="K305"/>
  <c r="J305"/>
  <c r="H305"/>
  <c r="G306" l="1"/>
  <c r="K306"/>
  <c r="H306"/>
  <c r="J306"/>
  <c r="E306"/>
  <c r="I306"/>
  <c r="D306"/>
  <c r="F306"/>
  <c r="M307"/>
  <c r="L307"/>
  <c r="C307"/>
  <c r="N307"/>
  <c r="B308"/>
  <c r="M308" l="1"/>
  <c r="B309"/>
  <c r="C308"/>
  <c r="L308"/>
  <c r="N308"/>
  <c r="E307"/>
  <c r="I307"/>
  <c r="F307"/>
  <c r="D307"/>
  <c r="G307"/>
  <c r="K307"/>
  <c r="J307"/>
  <c r="H307"/>
  <c r="G308" l="1"/>
  <c r="K308"/>
  <c r="H308"/>
  <c r="J308"/>
  <c r="E308"/>
  <c r="I308"/>
  <c r="D308"/>
  <c r="F308"/>
  <c r="M309"/>
  <c r="L309"/>
  <c r="C309"/>
  <c r="N309"/>
  <c r="B310"/>
  <c r="M310" l="1"/>
  <c r="B311"/>
  <c r="C310"/>
  <c r="L310"/>
  <c r="N310"/>
  <c r="E309"/>
  <c r="I309"/>
  <c r="F309"/>
  <c r="D309"/>
  <c r="G309"/>
  <c r="K309"/>
  <c r="J309"/>
  <c r="H309"/>
  <c r="G310" l="1"/>
  <c r="K310"/>
  <c r="H310"/>
  <c r="J310"/>
  <c r="E310"/>
  <c r="I310"/>
  <c r="D310"/>
  <c r="F310"/>
  <c r="M311"/>
  <c r="L311"/>
  <c r="C311"/>
  <c r="N311"/>
  <c r="B312"/>
  <c r="M312" l="1"/>
  <c r="B313"/>
  <c r="C312"/>
  <c r="L312"/>
  <c r="N312"/>
  <c r="E311"/>
  <c r="I311"/>
  <c r="F311"/>
  <c r="D311"/>
  <c r="G311"/>
  <c r="K311"/>
  <c r="J311"/>
  <c r="H311"/>
  <c r="G312" l="1"/>
  <c r="K312"/>
  <c r="H312"/>
  <c r="J312"/>
  <c r="E312"/>
  <c r="I312"/>
  <c r="D312"/>
  <c r="F312"/>
  <c r="M313"/>
  <c r="L313"/>
  <c r="C313"/>
  <c r="N313"/>
  <c r="B314"/>
  <c r="M314" l="1"/>
  <c r="B315"/>
  <c r="C314"/>
  <c r="L314"/>
  <c r="N314"/>
  <c r="E313"/>
  <c r="I313"/>
  <c r="F313"/>
  <c r="D313"/>
  <c r="G313"/>
  <c r="K313"/>
  <c r="J313"/>
  <c r="H313"/>
  <c r="G314" l="1"/>
  <c r="K314"/>
  <c r="H314"/>
  <c r="J314"/>
  <c r="E314"/>
  <c r="I314"/>
  <c r="D314"/>
  <c r="F314"/>
  <c r="M315"/>
  <c r="B316"/>
  <c r="C315"/>
  <c r="N315"/>
  <c r="L315"/>
  <c r="G315" l="1"/>
  <c r="K315"/>
  <c r="J315"/>
  <c r="H315"/>
  <c r="E315"/>
  <c r="I315"/>
  <c r="F315"/>
  <c r="D315"/>
  <c r="M316"/>
  <c r="B317"/>
  <c r="C316"/>
  <c r="L316"/>
  <c r="N316"/>
  <c r="G316" l="1"/>
  <c r="K316"/>
  <c r="H316"/>
  <c r="F316"/>
  <c r="E316"/>
  <c r="I316"/>
  <c r="D316"/>
  <c r="J316"/>
  <c r="M317"/>
  <c r="B318"/>
  <c r="C317"/>
  <c r="L317"/>
  <c r="N317"/>
  <c r="G317" l="1"/>
  <c r="K317"/>
  <c r="D317"/>
  <c r="J317"/>
  <c r="E317"/>
  <c r="I317"/>
  <c r="H317"/>
  <c r="F317"/>
  <c r="M318"/>
  <c r="B319"/>
  <c r="C318"/>
  <c r="L318"/>
  <c r="N318"/>
  <c r="G318" l="1"/>
  <c r="K318"/>
  <c r="D318"/>
  <c r="J318"/>
  <c r="E318"/>
  <c r="I318"/>
  <c r="F318"/>
  <c r="H318"/>
  <c r="M319"/>
  <c r="L319"/>
  <c r="C319"/>
  <c r="N319"/>
  <c r="B320"/>
  <c r="M320" l="1"/>
  <c r="B321"/>
  <c r="C320"/>
  <c r="L320"/>
  <c r="N320"/>
  <c r="E319"/>
  <c r="I319"/>
  <c r="F319"/>
  <c r="D319"/>
  <c r="G319"/>
  <c r="K319"/>
  <c r="J319"/>
  <c r="H319"/>
  <c r="G320" l="1"/>
  <c r="K320"/>
  <c r="H320"/>
  <c r="J320"/>
  <c r="E320"/>
  <c r="I320"/>
  <c r="D320"/>
  <c r="F320"/>
  <c r="M321"/>
  <c r="L321"/>
  <c r="C321"/>
  <c r="B322"/>
  <c r="N321"/>
  <c r="G321" l="1"/>
  <c r="K321"/>
  <c r="J321"/>
  <c r="H321"/>
  <c r="E321"/>
  <c r="I321"/>
  <c r="F321"/>
  <c r="D321"/>
  <c r="M322"/>
  <c r="N322"/>
  <c r="C322"/>
  <c r="L322"/>
  <c r="G322" l="1"/>
  <c r="K322"/>
  <c r="H322"/>
  <c r="J322"/>
  <c r="E322"/>
  <c r="I322"/>
  <c r="D322"/>
  <c r="F322"/>
</calcChain>
</file>

<file path=xl/sharedStrings.xml><?xml version="1.0" encoding="utf-8"?>
<sst xmlns="http://schemas.openxmlformats.org/spreadsheetml/2006/main" count="304" uniqueCount="83">
  <si>
    <t>Retardation, matrix</t>
  </si>
  <si>
    <t>G</t>
  </si>
  <si>
    <t>Infiltration</t>
  </si>
  <si>
    <t>f</t>
  </si>
  <si>
    <t>INPUT</t>
  </si>
  <si>
    <t>A</t>
  </si>
  <si>
    <t>T'</t>
  </si>
  <si>
    <t>t (year)</t>
  </si>
  <si>
    <t xml:space="preserve">B </t>
  </si>
  <si>
    <t>z(m)</t>
  </si>
  <si>
    <t>Kb (m/s)</t>
  </si>
  <si>
    <t>Depth</t>
  </si>
  <si>
    <t>t (time)</t>
  </si>
  <si>
    <t>Input concentration</t>
  </si>
  <si>
    <t>Fracture aperture</t>
  </si>
  <si>
    <t>Fracture spacing</t>
  </si>
  <si>
    <t>Matrix porosity</t>
  </si>
  <si>
    <t>Diffusion coefficient in matrix</t>
  </si>
  <si>
    <t>Degradation rate</t>
  </si>
  <si>
    <t>Retardation, fracture</t>
  </si>
  <si>
    <t>Water velocity</t>
  </si>
  <si>
    <t>Time</t>
  </si>
  <si>
    <t>Bulk hydrualic conductivity</t>
  </si>
  <si>
    <t>Vertical gradient</t>
  </si>
  <si>
    <t>i (-)</t>
  </si>
  <si>
    <t>z (depth)</t>
  </si>
  <si>
    <t>Conc in fracture</t>
  </si>
  <si>
    <t>Conc in matrix (at different distances x from the fracture)</t>
  </si>
  <si>
    <t>steady state</t>
  </si>
  <si>
    <t>vEPM</t>
  </si>
  <si>
    <t>(m/year)</t>
  </si>
  <si>
    <t>Initial concentration</t>
  </si>
  <si>
    <t>Spill time</t>
  </si>
  <si>
    <t>T''</t>
  </si>
  <si>
    <r>
      <t>v</t>
    </r>
    <r>
      <rPr>
        <i/>
        <vertAlign val="subscript"/>
        <sz val="10"/>
        <rFont val="Arial"/>
        <family val="2"/>
      </rPr>
      <t>f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(m/year)</t>
    </r>
  </si>
  <si>
    <r>
      <t>C0</t>
    </r>
    <r>
      <rPr>
        <sz val="10"/>
        <rFont val="Arial"/>
        <family val="2"/>
      </rPr>
      <t xml:space="preserve"> (mg/l)</t>
    </r>
  </si>
  <si>
    <r>
      <t>I</t>
    </r>
    <r>
      <rPr>
        <sz val="10"/>
        <rFont val="Arial"/>
        <family val="2"/>
      </rPr>
      <t xml:space="preserve"> (mm/year)</t>
    </r>
  </si>
  <si>
    <r>
      <t>2*b</t>
    </r>
    <r>
      <rPr>
        <sz val="10"/>
        <rFont val="Arial"/>
        <family val="2"/>
      </rPr>
      <t xml:space="preserve"> (m)</t>
    </r>
  </si>
  <si>
    <r>
      <t>2*B</t>
    </r>
    <r>
      <rPr>
        <sz val="10"/>
        <rFont val="Arial"/>
        <family val="2"/>
      </rPr>
      <t xml:space="preserve"> (m)</t>
    </r>
  </si>
  <si>
    <r>
      <t>l</t>
    </r>
    <r>
      <rPr>
        <sz val="10"/>
        <rFont val="Arial"/>
        <family val="2"/>
      </rPr>
      <t xml:space="preserve"> (year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)</t>
    </r>
  </si>
  <si>
    <r>
      <t>R</t>
    </r>
    <r>
      <rPr>
        <i/>
        <vertAlign val="subscript"/>
        <sz val="10"/>
        <rFont val="Arial"/>
        <family val="2"/>
      </rPr>
      <t>m</t>
    </r>
  </si>
  <si>
    <r>
      <t>R</t>
    </r>
    <r>
      <rPr>
        <i/>
        <vertAlign val="subscript"/>
        <sz val="10"/>
        <rFont val="Arial"/>
        <family val="2"/>
      </rPr>
      <t>f</t>
    </r>
  </si>
  <si>
    <r>
      <t>a</t>
    </r>
    <r>
      <rPr>
        <sz val="10"/>
        <rFont val="Arial"/>
        <family val="2"/>
      </rPr>
      <t xml:space="preserve"> (year)</t>
    </r>
  </si>
  <si>
    <r>
      <t>D</t>
    </r>
    <r>
      <rPr>
        <i/>
        <vertAlign val="subscript"/>
        <sz val="10"/>
        <rFont val="Arial"/>
        <family val="2"/>
      </rPr>
      <t>m</t>
    </r>
    <r>
      <rPr>
        <sz val="10"/>
        <rFont val="Arial"/>
        <family val="2"/>
      </rPr>
      <t xml:space="preserve">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/year)</t>
    </r>
  </si>
  <si>
    <r>
      <t xml:space="preserve">CI </t>
    </r>
    <r>
      <rPr>
        <sz val="10"/>
        <rFont val="Arial"/>
        <family val="2"/>
      </rPr>
      <t>(mg/l)</t>
    </r>
  </si>
  <si>
    <t>Average velocity in EPM</t>
  </si>
  <si>
    <r>
      <t>v</t>
    </r>
    <r>
      <rPr>
        <i/>
        <vertAlign val="subscript"/>
        <sz val="10"/>
        <rFont val="Arial"/>
        <family val="2"/>
      </rPr>
      <t xml:space="preserve">EPM </t>
    </r>
    <r>
      <rPr>
        <sz val="10"/>
        <rFont val="Arial"/>
        <family val="2"/>
      </rPr>
      <t>(m/year)</t>
    </r>
  </si>
  <si>
    <r>
      <t>i</t>
    </r>
    <r>
      <rPr>
        <sz val="10"/>
        <rFont val="Arial"/>
        <family val="2"/>
      </rPr>
      <t xml:space="preserve"> (-)</t>
    </r>
  </si>
  <si>
    <r>
      <t>K</t>
    </r>
    <r>
      <rPr>
        <i/>
        <vertAlign val="subscript"/>
        <sz val="10"/>
        <rFont val="Arial"/>
        <family val="2"/>
      </rPr>
      <t>b</t>
    </r>
    <r>
      <rPr>
        <sz val="10"/>
        <rFont val="Arial"/>
        <family val="2"/>
      </rPr>
      <t xml:space="preserve"> (m/s)</t>
    </r>
  </si>
  <si>
    <t>Model 1b - Constant source above fractured media</t>
  </si>
  <si>
    <t>Model 2 - Initially contaminated fractured media</t>
  </si>
  <si>
    <t>Time increment</t>
  </si>
  <si>
    <t>(year)</t>
  </si>
  <si>
    <t>Depth increment</t>
  </si>
  <si>
    <t>(m)</t>
  </si>
  <si>
    <t>Fracture model</t>
  </si>
  <si>
    <t>EPM model</t>
  </si>
  <si>
    <t>Diffusion model</t>
  </si>
  <si>
    <t>No fracture</t>
  </si>
  <si>
    <t>No advection</t>
  </si>
  <si>
    <t>1st order model</t>
  </si>
  <si>
    <t>Decaying source</t>
  </si>
  <si>
    <t>COMPARISON OF THE MODELS</t>
  </si>
  <si>
    <t>FRACTURE MODEL - CONCENTRATION IN MATRIX</t>
  </si>
  <si>
    <t>u1</t>
  </si>
  <si>
    <t>u2</t>
  </si>
  <si>
    <t>yes</t>
  </si>
  <si>
    <t>no</t>
  </si>
  <si>
    <t>Longitudinal dispersivity</t>
  </si>
  <si>
    <r>
      <rPr>
        <sz val="10"/>
        <rFont val="Calibri"/>
        <family val="2"/>
      </rPr>
      <t>α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(m)</t>
    </r>
  </si>
  <si>
    <t>Presence of fractures (yes/no)</t>
  </si>
  <si>
    <t>calculated using Input parameters from Box 3</t>
  </si>
  <si>
    <t>BOX 2: Hydrogeological properties</t>
  </si>
  <si>
    <r>
      <t xml:space="preserve">BOX 3: Specific Input </t>
    </r>
    <r>
      <rPr>
        <b/>
        <sz val="10"/>
        <rFont val="Arial"/>
        <family val="2"/>
      </rPr>
      <t>depending on conceptual model</t>
    </r>
  </si>
  <si>
    <t>BOX 1: General Input</t>
  </si>
  <si>
    <t>BOX 4: Calculated Parameters</t>
  </si>
  <si>
    <t>BOX 5: Calculation and graphic parameters</t>
  </si>
  <si>
    <t>CHOICE OF CONCEPTUAL MODEL</t>
  </si>
  <si>
    <t>Enter 1 of these 2 parameters</t>
  </si>
  <si>
    <t>calculated using from Box 3</t>
  </si>
  <si>
    <t>years</t>
  </si>
  <si>
    <t>Leaching concentration for time higher than this value shoud be disregarded</t>
  </si>
  <si>
    <t>Diffusion time (matrix to fracture)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</si>
</sst>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E+00"/>
  </numFmts>
  <fonts count="17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vertAlign val="subscript"/>
      <sz val="10"/>
      <name val="Arial"/>
      <family val="2"/>
    </font>
    <font>
      <i/>
      <sz val="10"/>
      <name val="Symbol"/>
      <family val="1"/>
      <charset val="2"/>
    </font>
    <font>
      <vertAlign val="superscript"/>
      <sz val="10"/>
      <name val="Arial"/>
      <family val="2"/>
    </font>
    <font>
      <sz val="10"/>
      <name val="Calibr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CCFFCC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2" fillId="7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0" fillId="7" borderId="0" xfId="0" applyFill="1" applyAlignment="1">
      <alignment vertical="center"/>
    </xf>
    <xf numFmtId="11" fontId="3" fillId="8" borderId="0" xfId="0" applyNumberFormat="1" applyFont="1" applyFill="1" applyAlignment="1">
      <alignment vertical="center"/>
    </xf>
    <xf numFmtId="0" fontId="10" fillId="7" borderId="0" xfId="0" applyFont="1" applyFill="1" applyAlignment="1">
      <alignment vertical="center"/>
    </xf>
    <xf numFmtId="1" fontId="0" fillId="8" borderId="0" xfId="0" applyNumberFormat="1" applyFill="1" applyAlignment="1">
      <alignment vertical="center"/>
    </xf>
    <xf numFmtId="11" fontId="0" fillId="7" borderId="0" xfId="0" applyNumberFormat="1" applyFill="1" applyAlignment="1">
      <alignment vertical="center"/>
    </xf>
    <xf numFmtId="0" fontId="3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11" fontId="0" fillId="0" borderId="0" xfId="0" applyNumberFormat="1" applyFill="1" applyAlignment="1">
      <alignment vertical="center"/>
    </xf>
    <xf numFmtId="2" fontId="3" fillId="8" borderId="0" xfId="0" applyNumberFormat="1" applyFont="1" applyFill="1" applyAlignment="1">
      <alignment vertical="center"/>
    </xf>
    <xf numFmtId="0" fontId="0" fillId="9" borderId="0" xfId="0" applyFill="1" applyAlignment="1">
      <alignment vertical="center"/>
    </xf>
    <xf numFmtId="1" fontId="0" fillId="9" borderId="0" xfId="0" applyNumberFormat="1" applyFill="1" applyAlignment="1">
      <alignment vertical="center"/>
    </xf>
    <xf numFmtId="0" fontId="2" fillId="6" borderId="0" xfId="0" applyFont="1" applyFill="1" applyAlignment="1">
      <alignment vertical="center"/>
    </xf>
    <xf numFmtId="165" fontId="3" fillId="8" borderId="0" xfId="0" applyNumberFormat="1" applyFont="1" applyFill="1" applyAlignment="1">
      <alignment vertical="center"/>
    </xf>
    <xf numFmtId="164" fontId="3" fillId="8" borderId="0" xfId="0" applyNumberFormat="1" applyFont="1" applyFill="1" applyAlignment="1">
      <alignment vertical="center"/>
    </xf>
    <xf numFmtId="1" fontId="3" fillId="8" borderId="0" xfId="0" applyNumberFormat="1" applyFont="1" applyFill="1" applyAlignment="1">
      <alignment vertical="center"/>
    </xf>
    <xf numFmtId="0" fontId="13" fillId="0" borderId="0" xfId="0" applyFont="1"/>
    <xf numFmtId="0" fontId="0" fillId="0" borderId="0" xfId="0" applyFill="1"/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9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165" fontId="0" fillId="0" borderId="0" xfId="0" applyNumberFormat="1" applyAlignment="1">
      <alignment vertical="center"/>
    </xf>
    <xf numFmtId="2" fontId="3" fillId="8" borderId="0" xfId="0" applyNumberFormat="1" applyFont="1" applyFill="1" applyAlignment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1" fillId="6" borderId="0" xfId="0" applyFont="1" applyFill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2" fillId="7" borderId="0" xfId="0" applyFont="1" applyFill="1" applyAlignment="1" applyProtection="1">
      <alignment vertical="center"/>
      <protection locked="0"/>
    </xf>
    <xf numFmtId="0" fontId="3" fillId="9" borderId="0" xfId="0" applyFont="1" applyFill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7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  <protection locked="0"/>
    </xf>
    <xf numFmtId="11" fontId="0" fillId="0" borderId="0" xfId="0" applyNumberFormat="1" applyFill="1" applyAlignment="1" applyProtection="1">
      <alignment vertical="center"/>
      <protection locked="0"/>
    </xf>
    <xf numFmtId="0" fontId="2" fillId="6" borderId="0" xfId="0" applyFont="1" applyFill="1" applyAlignment="1" applyProtection="1">
      <alignment vertical="center"/>
      <protection locked="0"/>
    </xf>
    <xf numFmtId="11" fontId="3" fillId="8" borderId="0" xfId="0" applyNumberFormat="1" applyFont="1" applyFill="1" applyAlignment="1" applyProtection="1">
      <alignment vertical="center"/>
      <protection locked="0"/>
    </xf>
    <xf numFmtId="1" fontId="3" fillId="8" borderId="0" xfId="0" applyNumberFormat="1" applyFont="1" applyFill="1" applyAlignment="1" applyProtection="1">
      <alignment vertical="center"/>
      <protection locked="0"/>
    </xf>
    <xf numFmtId="0" fontId="3" fillId="7" borderId="0" xfId="0" applyFont="1" applyFill="1" applyAlignment="1" applyProtection="1">
      <alignment vertical="center"/>
      <protection locked="0"/>
    </xf>
    <xf numFmtId="0" fontId="4" fillId="7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7" borderId="0" xfId="0" applyNumberFormat="1" applyFill="1" applyAlignment="1" applyProtection="1">
      <alignment vertical="center"/>
      <protection locked="0"/>
    </xf>
    <xf numFmtId="164" fontId="0" fillId="0" borderId="0" xfId="0" applyNumberFormat="1" applyFill="1" applyAlignment="1" applyProtection="1">
      <alignment vertical="center"/>
      <protection locked="0"/>
    </xf>
    <xf numFmtId="164" fontId="3" fillId="8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9" borderId="4" xfId="0" applyFont="1" applyFill="1" applyBorder="1" applyAlignment="1" applyProtection="1">
      <alignment horizontal="center"/>
      <protection locked="0"/>
    </xf>
    <xf numFmtId="0" fontId="6" fillId="9" borderId="4" xfId="0" applyFont="1" applyFill="1" applyBorder="1" applyProtection="1">
      <protection locked="0"/>
    </xf>
    <xf numFmtId="0" fontId="6" fillId="9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Protection="1"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2" fontId="0" fillId="4" borderId="2" xfId="0" applyNumberFormat="1" applyFill="1" applyBorder="1" applyProtection="1">
      <protection locked="0"/>
    </xf>
    <xf numFmtId="165" fontId="3" fillId="8" borderId="0" xfId="0" applyNumberFormat="1" applyFont="1" applyFill="1" applyAlignment="1" applyProtection="1">
      <alignment vertical="center"/>
    </xf>
    <xf numFmtId="1" fontId="0" fillId="8" borderId="0" xfId="0" applyNumberFormat="1" applyFill="1" applyAlignment="1" applyProtection="1">
      <alignment vertical="center"/>
    </xf>
    <xf numFmtId="2" fontId="3" fillId="8" borderId="0" xfId="0" applyNumberFormat="1" applyFont="1" applyFill="1" applyAlignment="1" applyProtection="1">
      <alignment vertical="center"/>
    </xf>
    <xf numFmtId="0" fontId="0" fillId="8" borderId="0" xfId="0" applyFill="1" applyAlignment="1" applyProtection="1">
      <alignment vertical="center"/>
    </xf>
    <xf numFmtId="165" fontId="0" fillId="0" borderId="0" xfId="0" applyNumberFormat="1" applyAlignment="1" applyProtection="1">
      <alignment vertical="center"/>
    </xf>
    <xf numFmtId="11" fontId="3" fillId="8" borderId="0" xfId="0" applyNumberFormat="1" applyFont="1" applyFill="1" applyAlignment="1" applyProtection="1">
      <alignment vertical="center"/>
    </xf>
    <xf numFmtId="1" fontId="3" fillId="8" borderId="0" xfId="0" applyNumberFormat="1" applyFont="1" applyFill="1" applyAlignment="1" applyProtection="1">
      <alignment vertical="center"/>
    </xf>
    <xf numFmtId="0" fontId="13" fillId="0" borderId="0" xfId="0" applyFont="1" applyProtection="1"/>
    <xf numFmtId="11" fontId="0" fillId="7" borderId="0" xfId="0" applyNumberFormat="1" applyFill="1" applyAlignment="1" applyProtection="1">
      <alignment vertical="center"/>
    </xf>
    <xf numFmtId="0" fontId="0" fillId="3" borderId="0" xfId="0" applyFill="1" applyProtection="1"/>
    <xf numFmtId="2" fontId="0" fillId="3" borderId="0" xfId="0" applyNumberFormat="1" applyFill="1" applyProtection="1"/>
    <xf numFmtId="2" fontId="0" fillId="4" borderId="2" xfId="0" applyNumberFormat="1" applyFill="1" applyBorder="1" applyProtection="1"/>
    <xf numFmtId="2" fontId="0" fillId="4" borderId="0" xfId="0" applyNumberFormat="1" applyFill="1" applyProtection="1"/>
    <xf numFmtId="2" fontId="0" fillId="0" borderId="0" xfId="0" applyNumberFormat="1" applyAlignment="1" applyProtection="1">
      <alignment vertical="center"/>
      <protection locked="0"/>
    </xf>
    <xf numFmtId="0" fontId="6" fillId="9" borderId="0" xfId="0" applyFont="1" applyFill="1" applyAlignment="1" applyProtection="1">
      <alignment horizontal="center"/>
      <protection locked="0"/>
    </xf>
    <xf numFmtId="0" fontId="6" fillId="9" borderId="0" xfId="0" applyFont="1" applyFill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0" fontId="0" fillId="9" borderId="0" xfId="0" applyFill="1" applyAlignment="1" applyProtection="1">
      <alignment vertical="center"/>
    </xf>
    <xf numFmtId="2" fontId="0" fillId="3" borderId="2" xfId="0" applyNumberFormat="1" applyFill="1" applyBorder="1" applyProtection="1"/>
    <xf numFmtId="0" fontId="8" fillId="0" borderId="0" xfId="0" applyFont="1" applyAlignment="1" applyProtection="1"/>
    <xf numFmtId="0" fontId="2" fillId="7" borderId="0" xfId="0" applyFont="1" applyFill="1" applyAlignment="1" applyProtection="1">
      <alignment vertical="center"/>
    </xf>
    <xf numFmtId="0" fontId="0" fillId="0" borderId="0" xfId="0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0" fillId="0" borderId="0" xfId="0" applyNumberFormat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2" fontId="0" fillId="4" borderId="5" xfId="0" applyNumberFormat="1" applyFill="1" applyBorder="1" applyProtection="1"/>
    <xf numFmtId="2" fontId="0" fillId="4" borderId="6" xfId="0" applyNumberFormat="1" applyFill="1" applyBorder="1" applyProtection="1"/>
    <xf numFmtId="2" fontId="0" fillId="4" borderId="7" xfId="0" applyNumberFormat="1" applyFill="1" applyBorder="1" applyProtection="1"/>
    <xf numFmtId="2" fontId="0" fillId="4" borderId="4" xfId="0" applyNumberFormat="1" applyFill="1" applyBorder="1" applyProtection="1"/>
    <xf numFmtId="2" fontId="0" fillId="4" borderId="0" xfId="0" applyNumberFormat="1" applyFill="1" applyBorder="1" applyProtection="1"/>
    <xf numFmtId="2" fontId="0" fillId="4" borderId="8" xfId="0" applyNumberFormat="1" applyFill="1" applyBorder="1" applyProtection="1"/>
    <xf numFmtId="0" fontId="14" fillId="0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6" fillId="9" borderId="0" xfId="0" applyFont="1" applyFill="1" applyAlignment="1" applyProtection="1">
      <alignment horizontal="center"/>
      <protection locked="0"/>
    </xf>
    <xf numFmtId="0" fontId="2" fillId="10" borderId="0" xfId="0" applyFont="1" applyFill="1" applyAlignment="1" applyProtection="1">
      <alignment horizontal="center" vertical="center" wrapText="1"/>
      <protection locked="0"/>
    </xf>
    <xf numFmtId="0" fontId="5" fillId="10" borderId="0" xfId="0" applyFont="1" applyFill="1" applyAlignment="1" applyProtection="1">
      <alignment horizontal="left" vertical="center"/>
      <protection locked="0"/>
    </xf>
    <xf numFmtId="1" fontId="16" fillId="10" borderId="0" xfId="0" applyNumberFormat="1" applyFont="1" applyFill="1" applyAlignment="1" applyProtection="1">
      <alignment horizontal="right" vertical="center"/>
      <protection locked="0"/>
    </xf>
  </cellXfs>
  <cellStyles count="1">
    <cellStyle name="Normal" xfId="0" builtinId="0"/>
  </cellStyles>
  <dxfs count="87"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rgb="FF0070C0"/>
        </patternFill>
      </fill>
    </dxf>
    <dxf>
      <fill>
        <patternFill>
          <bgColor theme="3" tint="0.79998168889431442"/>
        </patternFill>
      </fill>
    </dxf>
    <dxf>
      <fill>
        <patternFill>
          <bgColor rgb="FF0070C0"/>
        </patternFill>
      </fill>
    </dxf>
    <dxf>
      <fill>
        <patternFill>
          <bgColor theme="7" tint="0.79998168889431442"/>
        </patternFill>
      </fill>
    </dxf>
    <dxf>
      <fill>
        <patternFill>
          <bgColor rgb="FF0070C0"/>
        </patternFill>
      </fill>
    </dxf>
    <dxf>
      <fill>
        <patternFill>
          <bgColor theme="3" tint="0.7999816888943144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ont>
        <color theme="1"/>
      </font>
    </dxf>
    <dxf>
      <font>
        <color theme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rgb="FFFF0000"/>
      </font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0070C0"/>
        </patternFill>
      </fill>
    </dxf>
    <dxf>
      <font>
        <color theme="0"/>
      </font>
    </dxf>
    <dxf>
      <font>
        <color rgb="FFFF0000"/>
      </font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3" tint="0.79998168889431442"/>
        </patternFill>
      </fill>
    </dxf>
    <dxf>
      <fill>
        <patternFill>
          <bgColor rgb="FF0070C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theme="0"/>
      </font>
    </dxf>
    <dxf>
      <font>
        <color rgb="FFFF0000"/>
      </font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3" tint="0.79998168889431442"/>
        </patternFill>
      </fill>
    </dxf>
    <dxf>
      <fill>
        <patternFill>
          <bgColor rgb="FF0070C0"/>
        </patternFill>
      </fill>
    </dxf>
  </dxfs>
  <tableStyles count="0" defaultTableStyle="TableStyleMedium9" defaultPivotStyle="PivotStyleLight16"/>
  <colors>
    <mruColors>
      <color rgb="FFCCFFCC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>
        <c:manualLayout>
          <c:layoutTarget val="inner"/>
          <c:xMode val="edge"/>
          <c:yMode val="edge"/>
          <c:x val="0.13806989049830512"/>
          <c:y val="0.15097208579869886"/>
          <c:w val="0.61201714886174607"/>
          <c:h val="0.79316677912152056"/>
        </c:manualLayout>
      </c:layout>
      <c:scatterChart>
        <c:scatterStyle val="smoothMarker"/>
        <c:ser>
          <c:idx val="0"/>
          <c:order val="0"/>
          <c:tx>
            <c:v>fracture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'model 1a'!$E$50:$E$130</c:f>
              <c:numCache>
                <c:formatCode>0.00</c:formatCode>
                <c:ptCount val="81"/>
                <c:pt idx="0">
                  <c:v>0</c:v>
                </c:pt>
                <c:pt idx="1">
                  <c:v>1.5377890979005659E-2</c:v>
                </c:pt>
                <c:pt idx="2">
                  <c:v>3.060914981941254E-2</c:v>
                </c:pt>
                <c:pt idx="3">
                  <c:v>4.5549132275749082E-2</c:v>
                </c:pt>
                <c:pt idx="4">
                  <c:v>6.0057984650317087E-2</c:v>
                </c:pt>
                <c:pt idx="5">
                  <c:v>7.4002903323827196E-2</c:v>
                </c:pt>
                <c:pt idx="6">
                  <c:v>8.7260227516350319E-2</c:v>
                </c:pt>
                <c:pt idx="7">
                  <c:v>9.9717317739435929E-2</c:v>
                </c:pt>
                <c:pt idx="8">
                  <c:v>0.111274179043928</c:v>
                </c:pt>
                <c:pt idx="9">
                  <c:v>0.12184479597783526</c:v>
                </c:pt>
                <c:pt idx="10">
                  <c:v>0.13135815484553537</c:v>
                </c:pt>
                <c:pt idx="11">
                  <c:v>0.1397589380772335</c:v>
                </c:pt>
                <c:pt idx="12">
                  <c:v>0.14700788493689521</c:v>
                </c:pt>
                <c:pt idx="13">
                  <c:v>0.15308182208126664</c:v>
                </c:pt>
                <c:pt idx="14">
                  <c:v>0.15797337631219688</c:v>
                </c:pt>
                <c:pt idx="15">
                  <c:v>0.16169038994941309</c:v>
                </c:pt>
                <c:pt idx="16">
                  <c:v>0.16425506634232234</c:v>
                </c:pt>
                <c:pt idx="17">
                  <c:v>0.16570287893846558</c:v>
                </c:pt>
                <c:pt idx="18">
                  <c:v>0.16608128188997728</c:v>
                </c:pt>
                <c:pt idx="19">
                  <c:v>0.1654482633240062</c:v>
                </c:pt>
                <c:pt idx="20">
                  <c:v>0.16387078410398437</c:v>
                </c:pt>
                <c:pt idx="21">
                  <c:v>0.16142314519827416</c:v>
                </c:pt>
                <c:pt idx="22">
                  <c:v>0.15818532573500321</c:v>
                </c:pt>
                <c:pt idx="23">
                  <c:v>0.15424133158569786</c:v>
                </c:pt>
                <c:pt idx="24">
                  <c:v>0.149677591050426</c:v>
                </c:pt>
                <c:pt idx="25">
                  <c:v>0.14458143010488844</c:v>
                </c:pt>
                <c:pt idx="26">
                  <c:v>0.13903965492295578</c:v>
                </c:pt>
                <c:pt idx="27">
                  <c:v>0.13313726422045402</c:v>
                </c:pt>
                <c:pt idx="28">
                  <c:v>0.12695630858863716</c:v>
                </c:pt>
                <c:pt idx="29">
                  <c:v>0.12057490859801945</c:v>
                </c:pt>
                <c:pt idx="30">
                  <c:v>0.11406643823589802</c:v>
                </c:pt>
                <c:pt idx="31">
                  <c:v>0.10749887535040981</c:v>
                </c:pt>
                <c:pt idx="32">
                  <c:v>0.10093431633865535</c:v>
                </c:pt>
                <c:pt idx="33">
                  <c:v>9.4428648434054185E-2</c:v>
                </c:pt>
                <c:pt idx="34">
                  <c:v>8.8031369685404259E-2</c:v>
                </c:pt>
                <c:pt idx="35">
                  <c:v>8.1785544113552211E-2</c:v>
                </c:pt>
                <c:pt idx="36">
                  <c:v>7.5727877589237824E-2</c:v>
                </c:pt>
                <c:pt idx="37">
                  <c:v>6.9888898680661171E-2</c:v>
                </c:pt>
                <c:pt idx="38">
                  <c:v>6.4293228033256433E-2</c:v>
                </c:pt>
                <c:pt idx="39">
                  <c:v>5.8959919711605968E-2</c:v>
                </c:pt>
                <c:pt idx="40">
                  <c:v>5.3902858286344779E-2</c:v>
                </c:pt>
                <c:pt idx="41">
                  <c:v>4.9131196210955741E-2</c:v>
                </c:pt>
                <c:pt idx="42">
                  <c:v>4.4649817124231106E-2</c:v>
                </c:pt>
                <c:pt idx="43">
                  <c:v>4.0459812053100119E-2</c:v>
                </c:pt>
                <c:pt idx="44">
                  <c:v>3.6558956999800607E-2</c:v>
                </c:pt>
                <c:pt idx="45">
                  <c:v>3.2942182004706E-2</c:v>
                </c:pt>
                <c:pt idx="46">
                  <c:v>2.9602023416710477E-2</c:v>
                </c:pt>
                <c:pt idx="47">
                  <c:v>2.6529052721087742E-2</c:v>
                </c:pt>
                <c:pt idx="48">
                  <c:v>2.3712276823792733E-2</c:v>
                </c:pt>
                <c:pt idx="49">
                  <c:v>2.1139506134797648E-2</c:v>
                </c:pt>
                <c:pt idx="50">
                  <c:v>1.8797688104520205E-2</c:v>
                </c:pt>
                <c:pt idx="51">
                  <c:v>1.667320502858316E-2</c:v>
                </c:pt>
                <c:pt idx="52">
                  <c:v>1.4752135937646571E-2</c:v>
                </c:pt>
                <c:pt idx="53">
                  <c:v>1.3020483227986768E-2</c:v>
                </c:pt>
                <c:pt idx="54">
                  <c:v>1.1464365368262674E-2</c:v>
                </c:pt>
                <c:pt idx="55">
                  <c:v>1.0070177546559034E-2</c:v>
                </c:pt>
                <c:pt idx="56">
                  <c:v>8.8247225107265237E-3</c:v>
                </c:pt>
                <c:pt idx="57">
                  <c:v>7.7153141184203022E-3</c:v>
                </c:pt>
                <c:pt idx="58">
                  <c:v>6.7298562665341066E-3</c:v>
                </c:pt>
                <c:pt idx="59">
                  <c:v>5.8568999289234647E-3</c:v>
                </c:pt>
                <c:pt idx="60">
                  <c:v>5.0856810126493901E-3</c:v>
                </c:pt>
                <c:pt idx="61">
                  <c:v>4.4061416615843729E-3</c:v>
                </c:pt>
                <c:pt idx="62">
                  <c:v>3.8089375068430797E-3</c:v>
                </c:pt>
                <c:pt idx="63">
                  <c:v>3.285433198286114E-3</c:v>
                </c:pt>
                <c:pt idx="64">
                  <c:v>2.8276883630180549E-3</c:v>
                </c:pt>
                <c:pt idx="65">
                  <c:v>2.4284359337651829E-3</c:v>
                </c:pt>
                <c:pt idx="66">
                  <c:v>2.0810545812572911E-3</c:v>
                </c:pt>
                <c:pt idx="67">
                  <c:v>1.7795367776722859E-3</c:v>
                </c:pt>
                <c:pt idx="68">
                  <c:v>1.5184538153283356E-3</c:v>
                </c:pt>
                <c:pt idx="69">
                  <c:v>1.2929189152717235E-3</c:v>
                </c:pt>
                <c:pt idx="70">
                  <c:v>1.0985493777226907E-3</c:v>
                </c:pt>
                <c:pt idx="71">
                  <c:v>9.3142856926498041E-4</c:v>
                </c:pt>
                <c:pt idx="72">
                  <c:v>7.8806838289180448E-4</c:v>
                </c:pt>
                <c:pt idx="73">
                  <c:v>6.6537268798549931E-4</c:v>
                </c:pt>
                <c:pt idx="74">
                  <c:v>5.6060215203634911E-4</c:v>
                </c:pt>
                <c:pt idx="75">
                  <c:v>4.713407445504636E-4</c:v>
                </c:pt>
                <c:pt idx="76">
                  <c:v>3.9546410499368822E-4</c:v>
                </c:pt>
                <c:pt idx="77">
                  <c:v>3.3110992841050121E-4</c:v>
                </c:pt>
                <c:pt idx="78">
                  <c:v>2.7665042425193418E-4</c:v>
                </c:pt>
                <c:pt idx="79">
                  <c:v>2.3066687738583063E-4</c:v>
                </c:pt>
                <c:pt idx="80">
                  <c:v>1.9192628840709205E-4</c:v>
                </c:pt>
              </c:numCache>
            </c:numRef>
          </c:xVal>
          <c:yVal>
            <c:numRef>
              <c:f>'model 1a'!$A$50:$A$130</c:f>
              <c:numCache>
                <c:formatCode>General</c:formatCode>
                <c:ptCount val="8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  <c:pt idx="21">
                  <c:v>4.2000000000000011</c:v>
                </c:pt>
                <c:pt idx="22">
                  <c:v>4.4000000000000012</c:v>
                </c:pt>
                <c:pt idx="23">
                  <c:v>4.6000000000000014</c:v>
                </c:pt>
                <c:pt idx="24">
                  <c:v>4.8000000000000016</c:v>
                </c:pt>
                <c:pt idx="25">
                  <c:v>5.0000000000000018</c:v>
                </c:pt>
                <c:pt idx="26">
                  <c:v>5.200000000000002</c:v>
                </c:pt>
                <c:pt idx="27">
                  <c:v>5.4000000000000021</c:v>
                </c:pt>
                <c:pt idx="28">
                  <c:v>5.6000000000000023</c:v>
                </c:pt>
                <c:pt idx="29">
                  <c:v>5.8000000000000025</c:v>
                </c:pt>
                <c:pt idx="30">
                  <c:v>6.0000000000000027</c:v>
                </c:pt>
                <c:pt idx="31">
                  <c:v>6.2000000000000028</c:v>
                </c:pt>
                <c:pt idx="32">
                  <c:v>6.400000000000003</c:v>
                </c:pt>
                <c:pt idx="33">
                  <c:v>6.6000000000000032</c:v>
                </c:pt>
                <c:pt idx="34">
                  <c:v>6.8000000000000034</c:v>
                </c:pt>
                <c:pt idx="35">
                  <c:v>7.0000000000000036</c:v>
                </c:pt>
                <c:pt idx="36">
                  <c:v>7.2000000000000037</c:v>
                </c:pt>
                <c:pt idx="37">
                  <c:v>7.4000000000000039</c:v>
                </c:pt>
                <c:pt idx="38">
                  <c:v>7.6000000000000041</c:v>
                </c:pt>
                <c:pt idx="39">
                  <c:v>7.8000000000000043</c:v>
                </c:pt>
                <c:pt idx="40">
                  <c:v>8.0000000000000036</c:v>
                </c:pt>
                <c:pt idx="41">
                  <c:v>8.2000000000000028</c:v>
                </c:pt>
                <c:pt idx="42">
                  <c:v>8.4000000000000021</c:v>
                </c:pt>
                <c:pt idx="43">
                  <c:v>8.6000000000000014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9.3999999999999986</c:v>
                </c:pt>
                <c:pt idx="48">
                  <c:v>9.5999999999999979</c:v>
                </c:pt>
                <c:pt idx="49">
                  <c:v>9.7999999999999972</c:v>
                </c:pt>
                <c:pt idx="50">
                  <c:v>9.9999999999999964</c:v>
                </c:pt>
                <c:pt idx="51">
                  <c:v>10.199999999999996</c:v>
                </c:pt>
                <c:pt idx="52">
                  <c:v>10.399999999999995</c:v>
                </c:pt>
                <c:pt idx="53">
                  <c:v>10.599999999999994</c:v>
                </c:pt>
                <c:pt idx="54">
                  <c:v>10.799999999999994</c:v>
                </c:pt>
                <c:pt idx="55">
                  <c:v>10.999999999999993</c:v>
                </c:pt>
                <c:pt idx="56">
                  <c:v>11.199999999999992</c:v>
                </c:pt>
                <c:pt idx="57">
                  <c:v>11.399999999999991</c:v>
                </c:pt>
                <c:pt idx="58">
                  <c:v>11.599999999999991</c:v>
                </c:pt>
                <c:pt idx="59">
                  <c:v>11.79999999999999</c:v>
                </c:pt>
                <c:pt idx="60">
                  <c:v>11.999999999999989</c:v>
                </c:pt>
                <c:pt idx="61">
                  <c:v>12.199999999999989</c:v>
                </c:pt>
                <c:pt idx="62">
                  <c:v>12.399999999999988</c:v>
                </c:pt>
                <c:pt idx="63">
                  <c:v>12.599999999999987</c:v>
                </c:pt>
                <c:pt idx="64">
                  <c:v>12.799999999999986</c:v>
                </c:pt>
                <c:pt idx="65">
                  <c:v>12.999999999999986</c:v>
                </c:pt>
                <c:pt idx="66">
                  <c:v>13.199999999999985</c:v>
                </c:pt>
                <c:pt idx="67">
                  <c:v>13.399999999999984</c:v>
                </c:pt>
                <c:pt idx="68">
                  <c:v>13.599999999999984</c:v>
                </c:pt>
                <c:pt idx="69">
                  <c:v>13.799999999999983</c:v>
                </c:pt>
                <c:pt idx="70">
                  <c:v>13.999999999999982</c:v>
                </c:pt>
                <c:pt idx="71">
                  <c:v>14.199999999999982</c:v>
                </c:pt>
                <c:pt idx="72">
                  <c:v>14.399999999999981</c:v>
                </c:pt>
                <c:pt idx="73">
                  <c:v>14.59999999999998</c:v>
                </c:pt>
                <c:pt idx="74">
                  <c:v>14.799999999999979</c:v>
                </c:pt>
                <c:pt idx="75">
                  <c:v>14.999999999999979</c:v>
                </c:pt>
                <c:pt idx="76">
                  <c:v>15.199999999999978</c:v>
                </c:pt>
                <c:pt idx="77">
                  <c:v>15.399999999999977</c:v>
                </c:pt>
                <c:pt idx="78">
                  <c:v>15.599999999999977</c:v>
                </c:pt>
                <c:pt idx="79">
                  <c:v>15.799999999999976</c:v>
                </c:pt>
                <c:pt idx="80">
                  <c:v>15.999999999999975</c:v>
                </c:pt>
              </c:numCache>
            </c:numRef>
          </c:yVal>
          <c:smooth val="1"/>
        </c:ser>
        <c:ser>
          <c:idx val="6"/>
          <c:order val="1"/>
          <c:tx>
            <c:v>EPM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1a'!$N$50:$N$130</c:f>
              <c:numCache>
                <c:formatCode>0.00</c:formatCode>
                <c:ptCount val="81"/>
                <c:pt idx="0">
                  <c:v>0</c:v>
                </c:pt>
                <c:pt idx="1">
                  <c:v>1.5267833852610414E-2</c:v>
                </c:pt>
                <c:pt idx="2">
                  <c:v>4.9952830829579811E-2</c:v>
                </c:pt>
                <c:pt idx="3">
                  <c:v>0.11147414611384107</c:v>
                </c:pt>
                <c:pt idx="4">
                  <c:v>0.20151547640111472</c:v>
                </c:pt>
                <c:pt idx="5">
                  <c:v>0.31215924106650383</c:v>
                </c:pt>
                <c:pt idx="6">
                  <c:v>0.42595485461067106</c:v>
                </c:pt>
                <c:pt idx="7">
                  <c:v>0.52099612623346847</c:v>
                </c:pt>
                <c:pt idx="8">
                  <c:v>0.57871734750167358</c:v>
                </c:pt>
                <c:pt idx="9">
                  <c:v>0.59018131773145821</c:v>
                </c:pt>
                <c:pt idx="10">
                  <c:v>0.55779787602589892</c:v>
                </c:pt>
                <c:pt idx="11">
                  <c:v>0.49250951812792809</c:v>
                </c:pt>
                <c:pt idx="12">
                  <c:v>0.40886605459531389</c:v>
                </c:pt>
                <c:pt idx="13">
                  <c:v>0.32062412576639504</c:v>
                </c:pt>
                <c:pt idx="14">
                  <c:v>0.23819304431295868</c:v>
                </c:pt>
                <c:pt idx="15">
                  <c:v>0.16788258394174846</c:v>
                </c:pt>
                <c:pt idx="16">
                  <c:v>0.11229981187865434</c:v>
                </c:pt>
                <c:pt idx="17">
                  <c:v>7.1270279554794827E-2</c:v>
                </c:pt>
                <c:pt idx="18">
                  <c:v>4.2885046536380096E-2</c:v>
                </c:pt>
                <c:pt idx="19">
                  <c:v>2.4447500833857171E-2</c:v>
                </c:pt>
                <c:pt idx="20">
                  <c:v>1.3193609392274952E-2</c:v>
                </c:pt>
                <c:pt idx="21">
                  <c:v>6.7358688628715163E-3</c:v>
                </c:pt>
                <c:pt idx="22">
                  <c:v>3.2513432601078197E-3</c:v>
                </c:pt>
                <c:pt idx="23">
                  <c:v>1.4830183162523956E-3</c:v>
                </c:pt>
                <c:pt idx="24">
                  <c:v>6.3892915095727608E-4</c:v>
                </c:pt>
                <c:pt idx="25">
                  <c:v>2.5990655586906542E-4</c:v>
                </c:pt>
                <c:pt idx="26">
                  <c:v>9.9792822009631867E-5</c:v>
                </c:pt>
                <c:pt idx="27">
                  <c:v>3.6155769725797134E-5</c:v>
                </c:pt>
                <c:pt idx="28">
                  <c:v>1.2357970896318691E-5</c:v>
                </c:pt>
                <c:pt idx="29">
                  <c:v>3.9839755769774259E-6</c:v>
                </c:pt>
                <c:pt idx="30">
                  <c:v>1.2111735627683599E-6</c:v>
                </c:pt>
                <c:pt idx="31">
                  <c:v>3.4717322884652527E-7</c:v>
                </c:pt>
                <c:pt idx="32">
                  <c:v>9.3815498379612774E-8</c:v>
                </c:pt>
                <c:pt idx="33">
                  <c:v>2.3896640163351508E-8</c:v>
                </c:pt>
                <c:pt idx="34">
                  <c:v>5.7369951092234613E-9</c:v>
                </c:pt>
                <c:pt idx="35">
                  <c:v>1.2979986229718187E-9</c:v>
                </c:pt>
                <c:pt idx="36">
                  <c:v>2.7673709254821878E-10</c:v>
                </c:pt>
                <c:pt idx="37">
                  <c:v>5.5594153611798632E-11</c:v>
                </c:pt>
                <c:pt idx="38">
                  <c:v>1.0522722898662486E-11</c:v>
                </c:pt>
                <c:pt idx="39">
                  <c:v>1.8764460115249147E-12</c:v>
                </c:pt>
                <c:pt idx="40">
                  <c:v>3.1522978946636502E-13</c:v>
                </c:pt>
                <c:pt idx="41">
                  <c:v>4.9885957353213005E-14</c:v>
                </c:pt>
                <c:pt idx="42">
                  <c:v>7.4364892624192333E-15</c:v>
                </c:pt>
                <c:pt idx="43">
                  <c:v>1.0441832398813872E-15</c:v>
                </c:pt>
                <c:pt idx="44">
                  <c:v>1.3809780073737508E-16</c:v>
                </c:pt>
                <c:pt idx="45">
                  <c:v>1.7202109355167079E-17</c:v>
                </c:pt>
                <c:pt idx="46">
                  <c:v>2.018117560750914E-18</c:v>
                </c:pt>
                <c:pt idx="47">
                  <c:v>2.2298062074004221E-19</c:v>
                </c:pt>
                <c:pt idx="48">
                  <c:v>2.3202288233535903E-20</c:v>
                </c:pt>
                <c:pt idx="49">
                  <c:v>2.2736606195299827E-21</c:v>
                </c:pt>
                <c:pt idx="50">
                  <c:v>2.0981693109924752E-22</c:v>
                </c:pt>
                <c:pt idx="51">
                  <c:v>1.8233297218832772E-23</c:v>
                </c:pt>
                <c:pt idx="52">
                  <c:v>1.4920731338812025E-24</c:v>
                </c:pt>
                <c:pt idx="53">
                  <c:v>1.1497576275831207E-25</c:v>
                </c:pt>
                <c:pt idx="54">
                  <c:v>8.342677128013395E-27</c:v>
                </c:pt>
                <c:pt idx="55">
                  <c:v>5.7000637869419477E-28</c:v>
                </c:pt>
                <c:pt idx="56">
                  <c:v>3.6670921561885078E-29</c:v>
                </c:pt>
                <c:pt idx="57">
                  <c:v>2.2213904408091966E-30</c:v>
                </c:pt>
                <c:pt idx="58">
                  <c:v>1.2670171419874453E-31</c:v>
                </c:pt>
                <c:pt idx="59">
                  <c:v>6.8043795915043186E-33</c:v>
                </c:pt>
                <c:pt idx="60">
                  <c:v>3.4406247704461126E-34</c:v>
                </c:pt>
                <c:pt idx="61">
                  <c:v>1.63803597604711E-35</c:v>
                </c:pt>
                <c:pt idx="62">
                  <c:v>7.342463849108582E-37</c:v>
                </c:pt>
                <c:pt idx="63">
                  <c:v>3.0987578814974316E-38</c:v>
                </c:pt>
                <c:pt idx="64">
                  <c:v>1.2312786993074286E-39</c:v>
                </c:pt>
                <c:pt idx="65">
                  <c:v>4.6062093374920413E-41</c:v>
                </c:pt>
                <c:pt idx="66">
                  <c:v>1.6223534295875871E-42</c:v>
                </c:pt>
                <c:pt idx="67">
                  <c:v>5.3796978713387818E-44</c:v>
                </c:pt>
                <c:pt idx="68">
                  <c:v>1.6794892562194293E-45</c:v>
                </c:pt>
                <c:pt idx="69">
                  <c:v>4.9362824171893812E-47</c:v>
                </c:pt>
                <c:pt idx="70">
                  <c:v>1.3659124314682759E-48</c:v>
                </c:pt>
                <c:pt idx="71">
                  <c:v>3.558300571063762E-50</c:v>
                </c:pt>
                <c:pt idx="72">
                  <c:v>8.7268254472505286E-52</c:v>
                </c:pt>
                <c:pt idx="73">
                  <c:v>2.0149345638239844E-53</c:v>
                </c:pt>
                <c:pt idx="74">
                  <c:v>4.3797956248580861E-55</c:v>
                </c:pt>
                <c:pt idx="75">
                  <c:v>8.9625656823552835E-57</c:v>
                </c:pt>
                <c:pt idx="76">
                  <c:v>1.7266087861766529E-58</c:v>
                </c:pt>
                <c:pt idx="77">
                  <c:v>3.1313832323360046E-60</c:v>
                </c:pt>
                <c:pt idx="78">
                  <c:v>5.3463436475765082E-62</c:v>
                </c:pt>
                <c:pt idx="79">
                  <c:v>8.5931755393506521E-64</c:v>
                </c:pt>
                <c:pt idx="80">
                  <c:v>1.3002430556049311E-65</c:v>
                </c:pt>
              </c:numCache>
            </c:numRef>
          </c:xVal>
          <c:yVal>
            <c:numRef>
              <c:f>'model 1a'!$A$50:$A$130</c:f>
              <c:numCache>
                <c:formatCode>General</c:formatCode>
                <c:ptCount val="8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  <c:pt idx="21">
                  <c:v>4.2000000000000011</c:v>
                </c:pt>
                <c:pt idx="22">
                  <c:v>4.4000000000000012</c:v>
                </c:pt>
                <c:pt idx="23">
                  <c:v>4.6000000000000014</c:v>
                </c:pt>
                <c:pt idx="24">
                  <c:v>4.8000000000000016</c:v>
                </c:pt>
                <c:pt idx="25">
                  <c:v>5.0000000000000018</c:v>
                </c:pt>
                <c:pt idx="26">
                  <c:v>5.200000000000002</c:v>
                </c:pt>
                <c:pt idx="27">
                  <c:v>5.4000000000000021</c:v>
                </c:pt>
                <c:pt idx="28">
                  <c:v>5.6000000000000023</c:v>
                </c:pt>
                <c:pt idx="29">
                  <c:v>5.8000000000000025</c:v>
                </c:pt>
                <c:pt idx="30">
                  <c:v>6.0000000000000027</c:v>
                </c:pt>
                <c:pt idx="31">
                  <c:v>6.2000000000000028</c:v>
                </c:pt>
                <c:pt idx="32">
                  <c:v>6.400000000000003</c:v>
                </c:pt>
                <c:pt idx="33">
                  <c:v>6.6000000000000032</c:v>
                </c:pt>
                <c:pt idx="34">
                  <c:v>6.8000000000000034</c:v>
                </c:pt>
                <c:pt idx="35">
                  <c:v>7.0000000000000036</c:v>
                </c:pt>
                <c:pt idx="36">
                  <c:v>7.2000000000000037</c:v>
                </c:pt>
                <c:pt idx="37">
                  <c:v>7.4000000000000039</c:v>
                </c:pt>
                <c:pt idx="38">
                  <c:v>7.6000000000000041</c:v>
                </c:pt>
                <c:pt idx="39">
                  <c:v>7.8000000000000043</c:v>
                </c:pt>
                <c:pt idx="40">
                  <c:v>8.0000000000000036</c:v>
                </c:pt>
                <c:pt idx="41">
                  <c:v>8.2000000000000028</c:v>
                </c:pt>
                <c:pt idx="42">
                  <c:v>8.4000000000000021</c:v>
                </c:pt>
                <c:pt idx="43">
                  <c:v>8.6000000000000014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9.3999999999999986</c:v>
                </c:pt>
                <c:pt idx="48">
                  <c:v>9.5999999999999979</c:v>
                </c:pt>
                <c:pt idx="49">
                  <c:v>9.7999999999999972</c:v>
                </c:pt>
                <c:pt idx="50">
                  <c:v>9.9999999999999964</c:v>
                </c:pt>
                <c:pt idx="51">
                  <c:v>10.199999999999996</c:v>
                </c:pt>
                <c:pt idx="52">
                  <c:v>10.399999999999995</c:v>
                </c:pt>
                <c:pt idx="53">
                  <c:v>10.599999999999994</c:v>
                </c:pt>
                <c:pt idx="54">
                  <c:v>10.799999999999994</c:v>
                </c:pt>
                <c:pt idx="55">
                  <c:v>10.999999999999993</c:v>
                </c:pt>
                <c:pt idx="56">
                  <c:v>11.199999999999992</c:v>
                </c:pt>
                <c:pt idx="57">
                  <c:v>11.399999999999991</c:v>
                </c:pt>
                <c:pt idx="58">
                  <c:v>11.599999999999991</c:v>
                </c:pt>
                <c:pt idx="59">
                  <c:v>11.79999999999999</c:v>
                </c:pt>
                <c:pt idx="60">
                  <c:v>11.999999999999989</c:v>
                </c:pt>
                <c:pt idx="61">
                  <c:v>12.199999999999989</c:v>
                </c:pt>
                <c:pt idx="62">
                  <c:v>12.399999999999988</c:v>
                </c:pt>
                <c:pt idx="63">
                  <c:v>12.599999999999987</c:v>
                </c:pt>
                <c:pt idx="64">
                  <c:v>12.799999999999986</c:v>
                </c:pt>
                <c:pt idx="65">
                  <c:v>12.999999999999986</c:v>
                </c:pt>
                <c:pt idx="66">
                  <c:v>13.199999999999985</c:v>
                </c:pt>
                <c:pt idx="67">
                  <c:v>13.399999999999984</c:v>
                </c:pt>
                <c:pt idx="68">
                  <c:v>13.599999999999984</c:v>
                </c:pt>
                <c:pt idx="69">
                  <c:v>13.799999999999983</c:v>
                </c:pt>
                <c:pt idx="70">
                  <c:v>13.999999999999982</c:v>
                </c:pt>
                <c:pt idx="71">
                  <c:v>14.199999999999982</c:v>
                </c:pt>
                <c:pt idx="72">
                  <c:v>14.399999999999981</c:v>
                </c:pt>
                <c:pt idx="73">
                  <c:v>14.59999999999998</c:v>
                </c:pt>
                <c:pt idx="74">
                  <c:v>14.799999999999979</c:v>
                </c:pt>
                <c:pt idx="75">
                  <c:v>14.999999999999979</c:v>
                </c:pt>
                <c:pt idx="76">
                  <c:v>15.199999999999978</c:v>
                </c:pt>
                <c:pt idx="77">
                  <c:v>15.399999999999977</c:v>
                </c:pt>
                <c:pt idx="78">
                  <c:v>15.599999999999977</c:v>
                </c:pt>
                <c:pt idx="79">
                  <c:v>15.799999999999976</c:v>
                </c:pt>
                <c:pt idx="80">
                  <c:v>15.999999999999975</c:v>
                </c:pt>
              </c:numCache>
            </c:numRef>
          </c:yVal>
          <c:smooth val="1"/>
        </c:ser>
        <c:ser>
          <c:idx val="1"/>
          <c:order val="2"/>
          <c:tx>
            <c:v>Diffusion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1a'!$P$50:$P$130</c:f>
              <c:numCache>
                <c:formatCode>0.00</c:formatCode>
                <c:ptCount val="81"/>
                <c:pt idx="0">
                  <c:v>0</c:v>
                </c:pt>
                <c:pt idx="1">
                  <c:v>0.11938853665883564</c:v>
                </c:pt>
                <c:pt idx="2">
                  <c:v>0.16600309925260137</c:v>
                </c:pt>
                <c:pt idx="3">
                  <c:v>0.13740684525629643</c:v>
                </c:pt>
                <c:pt idx="4">
                  <c:v>8.1549099521955659E-2</c:v>
                </c:pt>
                <c:pt idx="5">
                  <c:v>3.7334416214384492E-2</c:v>
                </c:pt>
                <c:pt idx="6">
                  <c:v>1.3773872930289643E-2</c:v>
                </c:pt>
                <c:pt idx="7">
                  <c:v>4.2136035405819783E-3</c:v>
                </c:pt>
                <c:pt idx="8">
                  <c:v>1.086975559609904E-3</c:v>
                </c:pt>
                <c:pt idx="9">
                  <c:v>2.3835999857038339E-4</c:v>
                </c:pt>
                <c:pt idx="10">
                  <c:v>4.4549326581253749E-5</c:v>
                </c:pt>
                <c:pt idx="11">
                  <c:v>7.0976942511919591E-6</c:v>
                </c:pt>
                <c:pt idx="12">
                  <c:v>9.6335283545812165E-7</c:v>
                </c:pt>
                <c:pt idx="13">
                  <c:v>1.1130499452056477E-7</c:v>
                </c:pt>
                <c:pt idx="14">
                  <c:v>1.0939731204219544E-8</c:v>
                </c:pt>
                <c:pt idx="15">
                  <c:v>9.1412983611740429E-10</c:v>
                </c:pt>
                <c:pt idx="16">
                  <c:v>6.4909012132801621E-11</c:v>
                </c:pt>
                <c:pt idx="17">
                  <c:v>3.9148719044693051E-12</c:v>
                </c:pt>
                <c:pt idx="18">
                  <c:v>2.0048960802775663E-13</c:v>
                </c:pt>
                <c:pt idx="19">
                  <c:v>8.7155762758738703E-15</c:v>
                </c:pt>
                <c:pt idx="20">
                  <c:v>3.2152627273870448E-16</c:v>
                </c:pt>
                <c:pt idx="21">
                  <c:v>1.0063616346648303E-17</c:v>
                </c:pt>
                <c:pt idx="22">
                  <c:v>2.6719144575874592E-19</c:v>
                </c:pt>
                <c:pt idx="23">
                  <c:v>6.0165293340531243E-21</c:v>
                </c:pt>
                <c:pt idx="24">
                  <c:v>1.1488347954121904E-22</c:v>
                </c:pt>
                <c:pt idx="25">
                  <c:v>1.8599351718597377E-24</c:v>
                </c:pt>
                <c:pt idx="26">
                  <c:v>2.5527826991408096E-26</c:v>
                </c:pt>
                <c:pt idx="27">
                  <c:v>2.9700135600147092E-28</c:v>
                </c:pt>
                <c:pt idx="28">
                  <c:v>2.9287960823008898E-30</c:v>
                </c:pt>
                <c:pt idx="29">
                  <c:v>2.4477538655813285E-32</c:v>
                </c:pt>
                <c:pt idx="30">
                  <c:v>1.7336432457176281E-34</c:v>
                </c:pt>
                <c:pt idx="31">
                  <c:v>1.0404801339497357E-36</c:v>
                </c:pt>
                <c:pt idx="32">
                  <c:v>5.291288801542319E-39</c:v>
                </c:pt>
                <c:pt idx="33">
                  <c:v>2.2799052758383861E-41</c:v>
                </c:pt>
                <c:pt idx="34">
                  <c:v>8.322926945653215E-44</c:v>
                </c:pt>
                <c:pt idx="35">
                  <c:v>2.5740534649585965E-46</c:v>
                </c:pt>
                <c:pt idx="36">
                  <c:v>6.7440576522383374E-49</c:v>
                </c:pt>
                <c:pt idx="37">
                  <c:v>1.4968174169553446E-51</c:v>
                </c:pt>
                <c:pt idx="38">
                  <c:v>2.8141241858526893E-54</c:v>
                </c:pt>
                <c:pt idx="39">
                  <c:v>4.4815565485180355E-57</c:v>
                </c:pt>
                <c:pt idx="40">
                  <c:v>6.0452068200839633E-60</c:v>
                </c:pt>
                <c:pt idx="41">
                  <c:v>6.9067958965394441E-63</c:v>
                </c:pt>
                <c:pt idx="42">
                  <c:v>6.6836349250241503E-66</c:v>
                </c:pt>
                <c:pt idx="43">
                  <c:v>5.4778202943481182E-69</c:v>
                </c:pt>
                <c:pt idx="44">
                  <c:v>3.8023397073295229E-72</c:v>
                </c:pt>
                <c:pt idx="45">
                  <c:v>2.2352800840587441E-75</c:v>
                </c:pt>
                <c:pt idx="46">
                  <c:v>1.1128621297825542E-78</c:v>
                </c:pt>
                <c:pt idx="47">
                  <c:v>4.692132231150378E-82</c:v>
                </c:pt>
                <c:pt idx="48">
                  <c:v>1.6753680110729035E-85</c:v>
                </c:pt>
                <c:pt idx="49">
                  <c:v>5.0658629135270944E-89</c:v>
                </c:pt>
                <c:pt idx="50">
                  <c:v>1.297156850109088E-92</c:v>
                </c:pt>
                <c:pt idx="51">
                  <c:v>2.8126807328195969E-96</c:v>
                </c:pt>
                <c:pt idx="52">
                  <c:v>5.1645288108371542E-100</c:v>
                </c:pt>
                <c:pt idx="53">
                  <c:v>8.0300287057553974E-104</c:v>
                </c:pt>
                <c:pt idx="54">
                  <c:v>1.0572404359164332E-107</c:v>
                </c:pt>
                <c:pt idx="55">
                  <c:v>1.1786779808079717E-111</c:v>
                </c:pt>
                <c:pt idx="56">
                  <c:v>1.1126948359405998E-115</c:v>
                </c:pt>
                <c:pt idx="57">
                  <c:v>8.8942944723471672E-120</c:v>
                </c:pt>
                <c:pt idx="58">
                  <c:v>6.0200036298170205E-124</c:v>
                </c:pt>
                <c:pt idx="59">
                  <c:v>3.4500655480808022E-128</c:v>
                </c:pt>
                <c:pt idx="60">
                  <c:v>1.6741679846925503E-132</c:v>
                </c:pt>
                <c:pt idx="61">
                  <c:v>6.8787221721859189E-137</c:v>
                </c:pt>
                <c:pt idx="62">
                  <c:v>2.3930386165621811E-141</c:v>
                </c:pt>
                <c:pt idx="63">
                  <c:v>7.0488972628283094E-146</c:v>
                </c:pt>
                <c:pt idx="64">
                  <c:v>1.7579992922704682E-150</c:v>
                </c:pt>
                <c:pt idx="65">
                  <c:v>3.7122645503879358E-155</c:v>
                </c:pt>
                <c:pt idx="66">
                  <c:v>6.6371046370501051E-160</c:v>
                </c:pt>
                <c:pt idx="67">
                  <c:v>1.0046965109692149E-164</c:v>
                </c:pt>
                <c:pt idx="68">
                  <c:v>1.2876703611891918E-169</c:v>
                </c:pt>
                <c:pt idx="69">
                  <c:v>1.3972859737359435E-174</c:v>
                </c:pt>
                <c:pt idx="70">
                  <c:v>1.283731008928124E-179</c:v>
                </c:pt>
                <c:pt idx="71">
                  <c:v>9.9854662070569642E-185</c:v>
                </c:pt>
                <c:pt idx="72">
                  <c:v>6.5760604776185541E-190</c:v>
                </c:pt>
                <c:pt idx="73">
                  <c:v>3.6666043123726805E-195</c:v>
                </c:pt>
                <c:pt idx="74">
                  <c:v>1.7308555939016276E-200</c:v>
                </c:pt>
                <c:pt idx="75">
                  <c:v>6.9175771682662907E-206</c:v>
                </c:pt>
                <c:pt idx="76">
                  <c:v>2.3406770681346322E-211</c:v>
                </c:pt>
                <c:pt idx="77">
                  <c:v>6.7053477454943264E-217</c:v>
                </c:pt>
                <c:pt idx="78">
                  <c:v>1.626265734885646E-222</c:v>
                </c:pt>
                <c:pt idx="79">
                  <c:v>3.3392602959576919E-228</c:v>
                </c:pt>
                <c:pt idx="80">
                  <c:v>5.8049143570944524E-234</c:v>
                </c:pt>
              </c:numCache>
            </c:numRef>
          </c:xVal>
          <c:yVal>
            <c:numRef>
              <c:f>'model 1a'!$A$50:$A$130</c:f>
              <c:numCache>
                <c:formatCode>General</c:formatCode>
                <c:ptCount val="8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  <c:pt idx="21">
                  <c:v>4.2000000000000011</c:v>
                </c:pt>
                <c:pt idx="22">
                  <c:v>4.4000000000000012</c:v>
                </c:pt>
                <c:pt idx="23">
                  <c:v>4.6000000000000014</c:v>
                </c:pt>
                <c:pt idx="24">
                  <c:v>4.8000000000000016</c:v>
                </c:pt>
                <c:pt idx="25">
                  <c:v>5.0000000000000018</c:v>
                </c:pt>
                <c:pt idx="26">
                  <c:v>5.200000000000002</c:v>
                </c:pt>
                <c:pt idx="27">
                  <c:v>5.4000000000000021</c:v>
                </c:pt>
                <c:pt idx="28">
                  <c:v>5.6000000000000023</c:v>
                </c:pt>
                <c:pt idx="29">
                  <c:v>5.8000000000000025</c:v>
                </c:pt>
                <c:pt idx="30">
                  <c:v>6.0000000000000027</c:v>
                </c:pt>
                <c:pt idx="31">
                  <c:v>6.2000000000000028</c:v>
                </c:pt>
                <c:pt idx="32">
                  <c:v>6.400000000000003</c:v>
                </c:pt>
                <c:pt idx="33">
                  <c:v>6.6000000000000032</c:v>
                </c:pt>
                <c:pt idx="34">
                  <c:v>6.8000000000000034</c:v>
                </c:pt>
                <c:pt idx="35">
                  <c:v>7.0000000000000036</c:v>
                </c:pt>
                <c:pt idx="36">
                  <c:v>7.2000000000000037</c:v>
                </c:pt>
                <c:pt idx="37">
                  <c:v>7.4000000000000039</c:v>
                </c:pt>
                <c:pt idx="38">
                  <c:v>7.6000000000000041</c:v>
                </c:pt>
                <c:pt idx="39">
                  <c:v>7.8000000000000043</c:v>
                </c:pt>
                <c:pt idx="40">
                  <c:v>8.0000000000000036</c:v>
                </c:pt>
                <c:pt idx="41">
                  <c:v>8.2000000000000028</c:v>
                </c:pt>
                <c:pt idx="42">
                  <c:v>8.4000000000000021</c:v>
                </c:pt>
                <c:pt idx="43">
                  <c:v>8.6000000000000014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9.3999999999999986</c:v>
                </c:pt>
                <c:pt idx="48">
                  <c:v>9.5999999999999979</c:v>
                </c:pt>
                <c:pt idx="49">
                  <c:v>9.7999999999999972</c:v>
                </c:pt>
                <c:pt idx="50">
                  <c:v>9.9999999999999964</c:v>
                </c:pt>
                <c:pt idx="51">
                  <c:v>10.199999999999996</c:v>
                </c:pt>
                <c:pt idx="52">
                  <c:v>10.399999999999995</c:v>
                </c:pt>
                <c:pt idx="53">
                  <c:v>10.599999999999994</c:v>
                </c:pt>
                <c:pt idx="54">
                  <c:v>10.799999999999994</c:v>
                </c:pt>
                <c:pt idx="55">
                  <c:v>10.999999999999993</c:v>
                </c:pt>
                <c:pt idx="56">
                  <c:v>11.199999999999992</c:v>
                </c:pt>
                <c:pt idx="57">
                  <c:v>11.399999999999991</c:v>
                </c:pt>
                <c:pt idx="58">
                  <c:v>11.599999999999991</c:v>
                </c:pt>
                <c:pt idx="59">
                  <c:v>11.79999999999999</c:v>
                </c:pt>
                <c:pt idx="60">
                  <c:v>11.999999999999989</c:v>
                </c:pt>
                <c:pt idx="61">
                  <c:v>12.199999999999989</c:v>
                </c:pt>
                <c:pt idx="62">
                  <c:v>12.399999999999988</c:v>
                </c:pt>
                <c:pt idx="63">
                  <c:v>12.599999999999987</c:v>
                </c:pt>
                <c:pt idx="64">
                  <c:v>12.799999999999986</c:v>
                </c:pt>
                <c:pt idx="65">
                  <c:v>12.999999999999986</c:v>
                </c:pt>
                <c:pt idx="66">
                  <c:v>13.199999999999985</c:v>
                </c:pt>
                <c:pt idx="67">
                  <c:v>13.399999999999984</c:v>
                </c:pt>
                <c:pt idx="68">
                  <c:v>13.599999999999984</c:v>
                </c:pt>
                <c:pt idx="69">
                  <c:v>13.799999999999983</c:v>
                </c:pt>
                <c:pt idx="70">
                  <c:v>13.999999999999982</c:v>
                </c:pt>
                <c:pt idx="71">
                  <c:v>14.199999999999982</c:v>
                </c:pt>
                <c:pt idx="72">
                  <c:v>14.399999999999981</c:v>
                </c:pt>
                <c:pt idx="73">
                  <c:v>14.59999999999998</c:v>
                </c:pt>
                <c:pt idx="74">
                  <c:v>14.799999999999979</c:v>
                </c:pt>
                <c:pt idx="75">
                  <c:v>14.999999999999979</c:v>
                </c:pt>
                <c:pt idx="76">
                  <c:v>15.199999999999978</c:v>
                </c:pt>
                <c:pt idx="77">
                  <c:v>15.399999999999977</c:v>
                </c:pt>
                <c:pt idx="78">
                  <c:v>15.599999999999977</c:v>
                </c:pt>
                <c:pt idx="79">
                  <c:v>15.799999999999976</c:v>
                </c:pt>
                <c:pt idx="80">
                  <c:v>15.999999999999975</c:v>
                </c:pt>
              </c:numCache>
            </c:numRef>
          </c:yVal>
          <c:smooth val="1"/>
        </c:ser>
        <c:ser>
          <c:idx val="2"/>
          <c:order val="3"/>
          <c:tx>
            <c:v>1st order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xVal>
            <c:numRef>
              <c:f>'model 1a'!$Q$50:$Q$130</c:f>
              <c:numCache>
                <c:formatCode>0.00</c:formatCode>
                <c:ptCount val="81"/>
              </c:numCache>
            </c:numRef>
          </c:xVal>
          <c:yVal>
            <c:numRef>
              <c:f>'model 1a'!$A$50:$A$130</c:f>
              <c:numCache>
                <c:formatCode>General</c:formatCode>
                <c:ptCount val="8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  <c:pt idx="21">
                  <c:v>4.2000000000000011</c:v>
                </c:pt>
                <c:pt idx="22">
                  <c:v>4.4000000000000012</c:v>
                </c:pt>
                <c:pt idx="23">
                  <c:v>4.6000000000000014</c:v>
                </c:pt>
                <c:pt idx="24">
                  <c:v>4.8000000000000016</c:v>
                </c:pt>
                <c:pt idx="25">
                  <c:v>5.0000000000000018</c:v>
                </c:pt>
                <c:pt idx="26">
                  <c:v>5.200000000000002</c:v>
                </c:pt>
                <c:pt idx="27">
                  <c:v>5.4000000000000021</c:v>
                </c:pt>
                <c:pt idx="28">
                  <c:v>5.6000000000000023</c:v>
                </c:pt>
                <c:pt idx="29">
                  <c:v>5.8000000000000025</c:v>
                </c:pt>
                <c:pt idx="30">
                  <c:v>6.0000000000000027</c:v>
                </c:pt>
                <c:pt idx="31">
                  <c:v>6.2000000000000028</c:v>
                </c:pt>
                <c:pt idx="32">
                  <c:v>6.400000000000003</c:v>
                </c:pt>
                <c:pt idx="33">
                  <c:v>6.6000000000000032</c:v>
                </c:pt>
                <c:pt idx="34">
                  <c:v>6.8000000000000034</c:v>
                </c:pt>
                <c:pt idx="35">
                  <c:v>7.0000000000000036</c:v>
                </c:pt>
                <c:pt idx="36">
                  <c:v>7.2000000000000037</c:v>
                </c:pt>
                <c:pt idx="37">
                  <c:v>7.4000000000000039</c:v>
                </c:pt>
                <c:pt idx="38">
                  <c:v>7.6000000000000041</c:v>
                </c:pt>
                <c:pt idx="39">
                  <c:v>7.8000000000000043</c:v>
                </c:pt>
                <c:pt idx="40">
                  <c:v>8.0000000000000036</c:v>
                </c:pt>
                <c:pt idx="41">
                  <c:v>8.2000000000000028</c:v>
                </c:pt>
                <c:pt idx="42">
                  <c:v>8.4000000000000021</c:v>
                </c:pt>
                <c:pt idx="43">
                  <c:v>8.6000000000000014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9.3999999999999986</c:v>
                </c:pt>
                <c:pt idx="48">
                  <c:v>9.5999999999999979</c:v>
                </c:pt>
                <c:pt idx="49">
                  <c:v>9.7999999999999972</c:v>
                </c:pt>
                <c:pt idx="50">
                  <c:v>9.9999999999999964</c:v>
                </c:pt>
                <c:pt idx="51">
                  <c:v>10.199999999999996</c:v>
                </c:pt>
                <c:pt idx="52">
                  <c:v>10.399999999999995</c:v>
                </c:pt>
                <c:pt idx="53">
                  <c:v>10.599999999999994</c:v>
                </c:pt>
                <c:pt idx="54">
                  <c:v>10.799999999999994</c:v>
                </c:pt>
                <c:pt idx="55">
                  <c:v>10.999999999999993</c:v>
                </c:pt>
                <c:pt idx="56">
                  <c:v>11.199999999999992</c:v>
                </c:pt>
                <c:pt idx="57">
                  <c:v>11.399999999999991</c:v>
                </c:pt>
                <c:pt idx="58">
                  <c:v>11.599999999999991</c:v>
                </c:pt>
                <c:pt idx="59">
                  <c:v>11.79999999999999</c:v>
                </c:pt>
                <c:pt idx="60">
                  <c:v>11.999999999999989</c:v>
                </c:pt>
                <c:pt idx="61">
                  <c:v>12.199999999999989</c:v>
                </c:pt>
                <c:pt idx="62">
                  <c:v>12.399999999999988</c:v>
                </c:pt>
                <c:pt idx="63">
                  <c:v>12.599999999999987</c:v>
                </c:pt>
                <c:pt idx="64">
                  <c:v>12.799999999999986</c:v>
                </c:pt>
                <c:pt idx="65">
                  <c:v>12.999999999999986</c:v>
                </c:pt>
                <c:pt idx="66">
                  <c:v>13.199999999999985</c:v>
                </c:pt>
                <c:pt idx="67">
                  <c:v>13.399999999999984</c:v>
                </c:pt>
                <c:pt idx="68">
                  <c:v>13.599999999999984</c:v>
                </c:pt>
                <c:pt idx="69">
                  <c:v>13.799999999999983</c:v>
                </c:pt>
                <c:pt idx="70">
                  <c:v>13.999999999999982</c:v>
                </c:pt>
                <c:pt idx="71">
                  <c:v>14.199999999999982</c:v>
                </c:pt>
                <c:pt idx="72">
                  <c:v>14.399999999999981</c:v>
                </c:pt>
                <c:pt idx="73">
                  <c:v>14.59999999999998</c:v>
                </c:pt>
                <c:pt idx="74">
                  <c:v>14.799999999999979</c:v>
                </c:pt>
                <c:pt idx="75">
                  <c:v>14.999999999999979</c:v>
                </c:pt>
                <c:pt idx="76">
                  <c:v>15.199999999999978</c:v>
                </c:pt>
                <c:pt idx="77">
                  <c:v>15.399999999999977</c:v>
                </c:pt>
                <c:pt idx="78">
                  <c:v>15.599999999999977</c:v>
                </c:pt>
                <c:pt idx="79">
                  <c:v>15.799999999999976</c:v>
                </c:pt>
                <c:pt idx="80">
                  <c:v>15.999999999999975</c:v>
                </c:pt>
              </c:numCache>
            </c:numRef>
          </c:yVal>
          <c:smooth val="1"/>
        </c:ser>
        <c:axId val="98428032"/>
        <c:axId val="98430336"/>
      </c:scatterChart>
      <c:valAx>
        <c:axId val="98428032"/>
        <c:scaling>
          <c:orientation val="minMax"/>
          <c:min val="0"/>
        </c:scaling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(mg/L)</a:t>
                </a:r>
              </a:p>
            </c:rich>
          </c:tx>
          <c:layout>
            <c:manualLayout>
              <c:xMode val="edge"/>
              <c:yMode val="edge"/>
              <c:x val="0.33312106729017055"/>
              <c:y val="3.6053010152254525E-2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8430336"/>
        <c:crosses val="autoZero"/>
        <c:crossBetween val="midCat"/>
      </c:valAx>
      <c:valAx>
        <c:axId val="98430336"/>
        <c:scaling>
          <c:orientation val="maxMin"/>
          <c:min val="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depth(m)</a:t>
                </a:r>
              </a:p>
            </c:rich>
          </c:tx>
          <c:layout>
            <c:manualLayout>
              <c:xMode val="edge"/>
              <c:yMode val="edge"/>
              <c:x val="1.976282588597068E-2"/>
              <c:y val="0.48220942180885146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8428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19773769823975"/>
          <c:y val="0.35912027419686277"/>
          <c:w val="0.20361512101989029"/>
          <c:h val="0.2726511535051406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>
        <c:manualLayout>
          <c:layoutTarget val="inner"/>
          <c:xMode val="edge"/>
          <c:yMode val="edge"/>
          <c:x val="0.15308678888596908"/>
          <c:y val="8.8993076003865093E-2"/>
          <c:w val="0.61234697514662517"/>
          <c:h val="0.78454422266565271"/>
        </c:manualLayout>
      </c:layout>
      <c:scatterChart>
        <c:scatterStyle val="smoothMarker"/>
        <c:ser>
          <c:idx val="0"/>
          <c:order val="0"/>
          <c:tx>
            <c:v>fracture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'model 2'!$B$51:$B$131</c:f>
              <c:numCache>
                <c:formatCode>General</c:formatCode>
                <c:ptCount val="81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  <c:pt idx="25">
                  <c:v>200</c:v>
                </c:pt>
                <c:pt idx="26">
                  <c:v>208</c:v>
                </c:pt>
                <c:pt idx="27">
                  <c:v>216</c:v>
                </c:pt>
                <c:pt idx="28">
                  <c:v>224</c:v>
                </c:pt>
                <c:pt idx="29">
                  <c:v>232</c:v>
                </c:pt>
                <c:pt idx="30">
                  <c:v>240</c:v>
                </c:pt>
                <c:pt idx="31">
                  <c:v>248</c:v>
                </c:pt>
                <c:pt idx="32">
                  <c:v>256</c:v>
                </c:pt>
                <c:pt idx="33">
                  <c:v>264</c:v>
                </c:pt>
                <c:pt idx="34">
                  <c:v>272</c:v>
                </c:pt>
                <c:pt idx="35">
                  <c:v>280</c:v>
                </c:pt>
                <c:pt idx="36">
                  <c:v>288</c:v>
                </c:pt>
                <c:pt idx="37">
                  <c:v>296</c:v>
                </c:pt>
                <c:pt idx="38">
                  <c:v>304</c:v>
                </c:pt>
                <c:pt idx="39">
                  <c:v>312</c:v>
                </c:pt>
                <c:pt idx="40">
                  <c:v>320</c:v>
                </c:pt>
                <c:pt idx="41">
                  <c:v>328</c:v>
                </c:pt>
                <c:pt idx="42">
                  <c:v>336</c:v>
                </c:pt>
                <c:pt idx="43">
                  <c:v>344</c:v>
                </c:pt>
                <c:pt idx="44">
                  <c:v>352</c:v>
                </c:pt>
                <c:pt idx="45">
                  <c:v>360</c:v>
                </c:pt>
                <c:pt idx="46">
                  <c:v>368</c:v>
                </c:pt>
                <c:pt idx="47">
                  <c:v>376</c:v>
                </c:pt>
                <c:pt idx="48">
                  <c:v>384</c:v>
                </c:pt>
                <c:pt idx="49">
                  <c:v>392</c:v>
                </c:pt>
                <c:pt idx="50">
                  <c:v>400</c:v>
                </c:pt>
                <c:pt idx="51">
                  <c:v>408</c:v>
                </c:pt>
                <c:pt idx="52">
                  <c:v>416</c:v>
                </c:pt>
                <c:pt idx="53">
                  <c:v>424</c:v>
                </c:pt>
                <c:pt idx="54">
                  <c:v>432</c:v>
                </c:pt>
                <c:pt idx="55">
                  <c:v>440</c:v>
                </c:pt>
                <c:pt idx="56">
                  <c:v>448</c:v>
                </c:pt>
                <c:pt idx="57">
                  <c:v>456</c:v>
                </c:pt>
                <c:pt idx="58">
                  <c:v>464</c:v>
                </c:pt>
                <c:pt idx="59">
                  <c:v>472</c:v>
                </c:pt>
                <c:pt idx="60">
                  <c:v>480</c:v>
                </c:pt>
                <c:pt idx="61">
                  <c:v>488</c:v>
                </c:pt>
                <c:pt idx="62">
                  <c:v>496</c:v>
                </c:pt>
                <c:pt idx="63">
                  <c:v>504</c:v>
                </c:pt>
                <c:pt idx="64">
                  <c:v>512</c:v>
                </c:pt>
                <c:pt idx="65">
                  <c:v>520</c:v>
                </c:pt>
                <c:pt idx="66">
                  <c:v>528</c:v>
                </c:pt>
                <c:pt idx="67">
                  <c:v>536</c:v>
                </c:pt>
                <c:pt idx="68">
                  <c:v>544</c:v>
                </c:pt>
                <c:pt idx="69">
                  <c:v>552</c:v>
                </c:pt>
                <c:pt idx="70">
                  <c:v>560</c:v>
                </c:pt>
                <c:pt idx="71">
                  <c:v>568</c:v>
                </c:pt>
                <c:pt idx="72">
                  <c:v>576</c:v>
                </c:pt>
                <c:pt idx="73">
                  <c:v>584</c:v>
                </c:pt>
                <c:pt idx="74">
                  <c:v>592</c:v>
                </c:pt>
                <c:pt idx="75">
                  <c:v>600</c:v>
                </c:pt>
                <c:pt idx="76">
                  <c:v>608</c:v>
                </c:pt>
                <c:pt idx="77">
                  <c:v>616</c:v>
                </c:pt>
                <c:pt idx="78">
                  <c:v>624</c:v>
                </c:pt>
                <c:pt idx="79">
                  <c:v>632</c:v>
                </c:pt>
                <c:pt idx="80">
                  <c:v>640</c:v>
                </c:pt>
              </c:numCache>
            </c:numRef>
          </c:xVal>
          <c:yVal>
            <c:numRef>
              <c:f>'model 2'!$D$51:$D$131</c:f>
              <c:numCache>
                <c:formatCode>0.00</c:formatCode>
                <c:ptCount val="81"/>
                <c:pt idx="0">
                  <c:v>1</c:v>
                </c:pt>
                <c:pt idx="1">
                  <c:v>0.64305450666299713</c:v>
                </c:pt>
                <c:pt idx="2">
                  <c:v>0.48517741515973256</c:v>
                </c:pt>
                <c:pt idx="3">
                  <c:v>0.40514341910362672</c:v>
                </c:pt>
                <c:pt idx="4">
                  <c:v>0.35488385994661154</c:v>
                </c:pt>
                <c:pt idx="5">
                  <c:v>0.31961113505348426</c:v>
                </c:pt>
                <c:pt idx="6">
                  <c:v>0.293112606312395</c:v>
                </c:pt>
                <c:pt idx="7">
                  <c:v>0.27226800746082747</c:v>
                </c:pt>
                <c:pt idx="8">
                  <c:v>0.2553170486156926</c:v>
                </c:pt>
                <c:pt idx="9">
                  <c:v>0.24118173913159291</c:v>
                </c:pt>
                <c:pt idx="10">
                  <c:v>0.22916026916047194</c:v>
                </c:pt>
                <c:pt idx="11">
                  <c:v>0.2187735309904546</c:v>
                </c:pt>
                <c:pt idx="12">
                  <c:v>0.2096818108898344</c:v>
                </c:pt>
                <c:pt idx="13">
                  <c:v>0.20163664683365412</c:v>
                </c:pt>
                <c:pt idx="14">
                  <c:v>0.19445155954529891</c:v>
                </c:pt>
                <c:pt idx="15">
                  <c:v>0.18798349444108364</c:v>
                </c:pt>
                <c:pt idx="16">
                  <c:v>0.18212063115401023</c:v>
                </c:pt>
                <c:pt idx="17">
                  <c:v>0.17677413017861299</c:v>
                </c:pt>
                <c:pt idx="18">
                  <c:v>0.17187239722131986</c:v>
                </c:pt>
                <c:pt idx="19">
                  <c:v>0.16735700527206343</c:v>
                </c:pt>
                <c:pt idx="20">
                  <c:v>0.16317973643371531</c:v>
                </c:pt>
                <c:pt idx="21">
                  <c:v>0.15930039740667734</c:v>
                </c:pt>
                <c:pt idx="22">
                  <c:v>0.15568518035743084</c:v>
                </c:pt>
                <c:pt idx="23">
                  <c:v>0.15230541524047836</c:v>
                </c:pt>
                <c:pt idx="24">
                  <c:v>0.14913660768704262</c:v>
                </c:pt>
                <c:pt idx="25">
                  <c:v>0.14615768830214293</c:v>
                </c:pt>
                <c:pt idx="26">
                  <c:v>0.1433504205790086</c:v>
                </c:pt>
                <c:pt idx="27">
                  <c:v>0.14069892928775607</c:v>
                </c:pt>
                <c:pt idx="28">
                  <c:v>0.1381893214012373</c:v>
                </c:pt>
                <c:pt idx="29">
                  <c:v>0.13580937883859923</c:v>
                </c:pt>
                <c:pt idx="30">
                  <c:v>0.13354830748177271</c:v>
                </c:pt>
                <c:pt idx="31">
                  <c:v>0.13139653067729062</c:v>
                </c:pt>
                <c:pt idx="32">
                  <c:v>0.12934551819594264</c:v>
                </c:pt>
                <c:pt idx="33">
                  <c:v>0.12738764367260136</c:v>
                </c:pt>
                <c:pt idx="34">
                  <c:v>0.1255160650863707</c:v>
                </c:pt>
                <c:pt idx="35">
                  <c:v>0.1237246240058818</c:v>
                </c:pt>
                <c:pt idx="36">
                  <c:v>0.12200776021446424</c:v>
                </c:pt>
                <c:pt idx="37">
                  <c:v>0.12036043901556703</c:v>
                </c:pt>
                <c:pt idx="38">
                  <c:v>0.11877808905119225</c:v>
                </c:pt>
                <c:pt idx="39">
                  <c:v>0.11725654888255366</c:v>
                </c:pt>
                <c:pt idx="40">
                  <c:v>0.11579202091019702</c:v>
                </c:pt>
                <c:pt idx="41">
                  <c:v>0.11438103147088552</c:v>
                </c:pt>
                <c:pt idx="42">
                  <c:v>0.11302039615602077</c:v>
                </c:pt>
                <c:pt idx="43">
                  <c:v>0.11170718956287207</c:v>
                </c:pt>
                <c:pt idx="44">
                  <c:v>0.11043871882422174</c:v>
                </c:pt>
                <c:pt idx="45">
                  <c:v>0.10921250037103403</c:v>
                </c:pt>
                <c:pt idx="46">
                  <c:v>0.10802623947161605</c:v>
                </c:pt>
                <c:pt idx="47">
                  <c:v>0.10687781216354031</c:v>
                </c:pt>
                <c:pt idx="48">
                  <c:v>0.10576524925451758</c:v>
                </c:pt>
                <c:pt idx="49">
                  <c:v>0.10468672211794594</c:v>
                </c:pt>
                <c:pt idx="50">
                  <c:v>0.10364053004996787</c:v>
                </c:pt>
                <c:pt idx="51">
                  <c:v>0.10262508898914602</c:v>
                </c:pt>
                <c:pt idx="52">
                  <c:v>0.10163892142853048</c:v>
                </c:pt>
                <c:pt idx="53">
                  <c:v>0.10068064737396565</c:v>
                </c:pt>
                <c:pt idx="54">
                  <c:v>9.974897622277612E-2</c:v>
                </c:pt>
                <c:pt idx="55">
                  <c:v>9.8842699454119609E-2</c:v>
                </c:pt>
                <c:pt idx="56">
                  <c:v>9.7960684036848322E-2</c:v>
                </c:pt>
                <c:pt idx="57">
                  <c:v>9.7101866473102483E-2</c:v>
                </c:pt>
                <c:pt idx="58">
                  <c:v>9.626524740642961E-2</c:v>
                </c:pt>
                <c:pt idx="59">
                  <c:v>9.5449886732268618E-2</c:v>
                </c:pt>
                <c:pt idx="60">
                  <c:v>9.4654899156402239E-2</c:v>
                </c:pt>
                <c:pt idx="61">
                  <c:v>9.3879450153672384E-2</c:v>
                </c:pt>
                <c:pt idx="62">
                  <c:v>9.3122752285012877E-2</c:v>
                </c:pt>
                <c:pt idx="63">
                  <c:v>9.2384061835849129E-2</c:v>
                </c:pt>
                <c:pt idx="64">
                  <c:v>9.1662675743244382E-2</c:v>
                </c:pt>
                <c:pt idx="65">
                  <c:v>9.0957928782930075E-2</c:v>
                </c:pt>
                <c:pt idx="66">
                  <c:v>9.0269190990636572E-2</c:v>
                </c:pt>
                <c:pt idx="67">
                  <c:v>8.9595865295007959E-2</c:v>
                </c:pt>
                <c:pt idx="68">
                  <c:v>8.8937385341881114E-2</c:v>
                </c:pt>
                <c:pt idx="69">
                  <c:v>8.8293213491914102E-2</c:v>
                </c:pt>
                <c:pt idx="70">
                  <c:v>8.7662838975471225E-2</c:v>
                </c:pt>
                <c:pt idx="71">
                  <c:v>8.7045776190376234E-2</c:v>
                </c:pt>
                <c:pt idx="72">
                  <c:v>8.6441563129641796E-2</c:v>
                </c:pt>
                <c:pt idx="73">
                  <c:v>8.5849759927605129E-2</c:v>
                </c:pt>
                <c:pt idx="74">
                  <c:v>8.5269947514074795E-2</c:v>
                </c:pt>
                <c:pt idx="75">
                  <c:v>8.4701726367133467E-2</c:v>
                </c:pt>
                <c:pt idx="76">
                  <c:v>8.4144715356157862E-2</c:v>
                </c:pt>
                <c:pt idx="77">
                  <c:v>8.3598550667448812E-2</c:v>
                </c:pt>
                <c:pt idx="78">
                  <c:v>8.3062884805585657E-2</c:v>
                </c:pt>
                <c:pt idx="79">
                  <c:v>8.2537385664278817E-2</c:v>
                </c:pt>
                <c:pt idx="80">
                  <c:v>8.2021735661076844E-2</c:v>
                </c:pt>
              </c:numCache>
            </c:numRef>
          </c:yVal>
          <c:smooth val="1"/>
        </c:ser>
        <c:ser>
          <c:idx val="6"/>
          <c:order val="1"/>
          <c:tx>
            <c:v>EPM</c:v>
          </c:tx>
          <c:spPr>
            <a:ln w="25400">
              <a:solidFill>
                <a:srgbClr val="35EB4B"/>
              </a:solidFill>
              <a:prstDash val="solid"/>
            </a:ln>
          </c:spPr>
          <c:marker>
            <c:symbol val="none"/>
          </c:marker>
          <c:xVal>
            <c:numRef>
              <c:f>'model 2'!$B$51:$B$131</c:f>
              <c:numCache>
                <c:formatCode>General</c:formatCode>
                <c:ptCount val="81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  <c:pt idx="25">
                  <c:v>200</c:v>
                </c:pt>
                <c:pt idx="26">
                  <c:v>208</c:v>
                </c:pt>
                <c:pt idx="27">
                  <c:v>216</c:v>
                </c:pt>
                <c:pt idx="28">
                  <c:v>224</c:v>
                </c:pt>
                <c:pt idx="29">
                  <c:v>232</c:v>
                </c:pt>
                <c:pt idx="30">
                  <c:v>240</c:v>
                </c:pt>
                <c:pt idx="31">
                  <c:v>248</c:v>
                </c:pt>
                <c:pt idx="32">
                  <c:v>256</c:v>
                </c:pt>
                <c:pt idx="33">
                  <c:v>264</c:v>
                </c:pt>
                <c:pt idx="34">
                  <c:v>272</c:v>
                </c:pt>
                <c:pt idx="35">
                  <c:v>280</c:v>
                </c:pt>
                <c:pt idx="36">
                  <c:v>288</c:v>
                </c:pt>
                <c:pt idx="37">
                  <c:v>296</c:v>
                </c:pt>
                <c:pt idx="38">
                  <c:v>304</c:v>
                </c:pt>
                <c:pt idx="39">
                  <c:v>312</c:v>
                </c:pt>
                <c:pt idx="40">
                  <c:v>320</c:v>
                </c:pt>
                <c:pt idx="41">
                  <c:v>328</c:v>
                </c:pt>
                <c:pt idx="42">
                  <c:v>336</c:v>
                </c:pt>
                <c:pt idx="43">
                  <c:v>344</c:v>
                </c:pt>
                <c:pt idx="44">
                  <c:v>352</c:v>
                </c:pt>
                <c:pt idx="45">
                  <c:v>360</c:v>
                </c:pt>
                <c:pt idx="46">
                  <c:v>368</c:v>
                </c:pt>
                <c:pt idx="47">
                  <c:v>376</c:v>
                </c:pt>
                <c:pt idx="48">
                  <c:v>384</c:v>
                </c:pt>
                <c:pt idx="49">
                  <c:v>392</c:v>
                </c:pt>
                <c:pt idx="50">
                  <c:v>400</c:v>
                </c:pt>
                <c:pt idx="51">
                  <c:v>408</c:v>
                </c:pt>
                <c:pt idx="52">
                  <c:v>416</c:v>
                </c:pt>
                <c:pt idx="53">
                  <c:v>424</c:v>
                </c:pt>
                <c:pt idx="54">
                  <c:v>432</c:v>
                </c:pt>
                <c:pt idx="55">
                  <c:v>440</c:v>
                </c:pt>
                <c:pt idx="56">
                  <c:v>448</c:v>
                </c:pt>
                <c:pt idx="57">
                  <c:v>456</c:v>
                </c:pt>
                <c:pt idx="58">
                  <c:v>464</c:v>
                </c:pt>
                <c:pt idx="59">
                  <c:v>472</c:v>
                </c:pt>
                <c:pt idx="60">
                  <c:v>480</c:v>
                </c:pt>
                <c:pt idx="61">
                  <c:v>488</c:v>
                </c:pt>
                <c:pt idx="62">
                  <c:v>496</c:v>
                </c:pt>
                <c:pt idx="63">
                  <c:v>504</c:v>
                </c:pt>
                <c:pt idx="64">
                  <c:v>512</c:v>
                </c:pt>
                <c:pt idx="65">
                  <c:v>520</c:v>
                </c:pt>
                <c:pt idx="66">
                  <c:v>528</c:v>
                </c:pt>
                <c:pt idx="67">
                  <c:v>536</c:v>
                </c:pt>
                <c:pt idx="68">
                  <c:v>544</c:v>
                </c:pt>
                <c:pt idx="69">
                  <c:v>552</c:v>
                </c:pt>
                <c:pt idx="70">
                  <c:v>560</c:v>
                </c:pt>
                <c:pt idx="71">
                  <c:v>568</c:v>
                </c:pt>
                <c:pt idx="72">
                  <c:v>576</c:v>
                </c:pt>
                <c:pt idx="73">
                  <c:v>584</c:v>
                </c:pt>
                <c:pt idx="74">
                  <c:v>592</c:v>
                </c:pt>
                <c:pt idx="75">
                  <c:v>600</c:v>
                </c:pt>
                <c:pt idx="76">
                  <c:v>608</c:v>
                </c:pt>
                <c:pt idx="77">
                  <c:v>616</c:v>
                </c:pt>
                <c:pt idx="78">
                  <c:v>624</c:v>
                </c:pt>
                <c:pt idx="79">
                  <c:v>632</c:v>
                </c:pt>
                <c:pt idx="80">
                  <c:v>640</c:v>
                </c:pt>
              </c:numCache>
            </c:numRef>
          </c:xVal>
          <c:yVal>
            <c:numRef>
              <c:f>'model 2'!$L$51:$L$131</c:f>
              <c:numCache>
                <c:formatCode>0.00</c:formatCode>
                <c:ptCount val="81"/>
                <c:pt idx="0">
                  <c:v>1</c:v>
                </c:pt>
                <c:pt idx="1">
                  <c:v>0.99999965949158987</c:v>
                </c:pt>
                <c:pt idx="2">
                  <c:v>0.95142666624748906</c:v>
                </c:pt>
                <c:pt idx="3">
                  <c:v>0.43934223977671888</c:v>
                </c:pt>
                <c:pt idx="4">
                  <c:v>7.5825584834943047E-2</c:v>
                </c:pt>
                <c:pt idx="5">
                  <c:v>7.2612175874872276E-3</c:v>
                </c:pt>
                <c:pt idx="6">
                  <c:v>5.0110245828126777E-4</c:v>
                </c:pt>
                <c:pt idx="7">
                  <c:v>2.8507561041558863E-5</c:v>
                </c:pt>
                <c:pt idx="8">
                  <c:v>1.4367455648830226E-6</c:v>
                </c:pt>
                <c:pt idx="9">
                  <c:v>6.6844740760842194E-8</c:v>
                </c:pt>
                <c:pt idx="10">
                  <c:v>2.9435190077897665E-9</c:v>
                </c:pt>
                <c:pt idx="11">
                  <c:v>1.2464820963610631E-10</c:v>
                </c:pt>
                <c:pt idx="12">
                  <c:v>5.1298148823618637E-12</c:v>
                </c:pt>
                <c:pt idx="13">
                  <c:v>2.0667268344236759E-13</c:v>
                </c:pt>
                <c:pt idx="14">
                  <c:v>8.1395805641058036E-15</c:v>
                </c:pt>
                <c:pt idx="15">
                  <c:v>3.3388740103308195E-16</c:v>
                </c:pt>
                <c:pt idx="16">
                  <c:v>-2.7879750605846992E-17</c:v>
                </c:pt>
                <c:pt idx="17">
                  <c:v>-1.1527774829911932E-18</c:v>
                </c:pt>
                <c:pt idx="18">
                  <c:v>-4.714133722930812E-20</c:v>
                </c:pt>
                <c:pt idx="19">
                  <c:v>-1.9100672900084664E-21</c:v>
                </c:pt>
                <c:pt idx="20">
                  <c:v>-7.6791880488146693E-23</c:v>
                </c:pt>
                <c:pt idx="21">
                  <c:v>-3.0669661804725586E-24</c:v>
                </c:pt>
                <c:pt idx="22">
                  <c:v>-1.2179870522169798E-25</c:v>
                </c:pt>
                <c:pt idx="23">
                  <c:v>-4.8134426004854672E-27</c:v>
                </c:pt>
                <c:pt idx="24">
                  <c:v>-1.8942173083899209E-28</c:v>
                </c:pt>
                <c:pt idx="25">
                  <c:v>-7.4267682299313072E-30</c:v>
                </c:pt>
                <c:pt idx="26">
                  <c:v>-2.9024448253647021E-31</c:v>
                </c:pt>
                <c:pt idx="27">
                  <c:v>-1.131070943936536E-32</c:v>
                </c:pt>
                <c:pt idx="28">
                  <c:v>-4.396635806640029E-34</c:v>
                </c:pt>
                <c:pt idx="29">
                  <c:v>-1.7052125324617952E-35</c:v>
                </c:pt>
                <c:pt idx="30">
                  <c:v>-6.6003897884483579E-37</c:v>
                </c:pt>
                <c:pt idx="31">
                  <c:v>-2.5502644289870239E-38</c:v>
                </c:pt>
                <c:pt idx="32">
                  <c:v>-9.8379594501011553E-40</c:v>
                </c:pt>
                <c:pt idx="33">
                  <c:v>-3.7896456074103264E-41</c:v>
                </c:pt>
                <c:pt idx="34">
                  <c:v>-1.4578973735487129E-42</c:v>
                </c:pt>
                <c:pt idx="35">
                  <c:v>-5.6020093776206513E-44</c:v>
                </c:pt>
                <c:pt idx="36">
                  <c:v>-2.150288419719237E-45</c:v>
                </c:pt>
                <c:pt idx="37">
                  <c:v>-8.2457033104529131E-47</c:v>
                </c:pt>
                <c:pt idx="38">
                  <c:v>-3.159179005370939E-48</c:v>
                </c:pt>
                <c:pt idx="39">
                  <c:v>-1.2093992646149995E-49</c:v>
                </c:pt>
                <c:pt idx="40">
                  <c:v>-4.6264084246422798E-51</c:v>
                </c:pt>
                <c:pt idx="41">
                  <c:v>-1.7685764259691175E-52</c:v>
                </c:pt>
                <c:pt idx="42">
                  <c:v>-6.7566802879480111E-54</c:v>
                </c:pt>
                <c:pt idx="43">
                  <c:v>-2.5798490088679843E-55</c:v>
                </c:pt>
                <c:pt idx="44">
                  <c:v>-9.8452374677533785E-57</c:v>
                </c:pt>
                <c:pt idx="45">
                  <c:v>-3.7553190414041127E-58</c:v>
                </c:pt>
                <c:pt idx="46">
                  <c:v>-1.4317669038608262E-59</c:v>
                </c:pt>
                <c:pt idx="47">
                  <c:v>-5.4565390626101031E-61</c:v>
                </c:pt>
                <c:pt idx="48">
                  <c:v>-2.0787152999445139E-62</c:v>
                </c:pt>
                <c:pt idx="49">
                  <c:v>-7.9162172984431725E-64</c:v>
                </c:pt>
                <c:pt idx="50">
                  <c:v>-3.0136753088557157E-65</c:v>
                </c:pt>
                <c:pt idx="51">
                  <c:v>-1.1469419537346036E-66</c:v>
                </c:pt>
                <c:pt idx="52">
                  <c:v>-4.3637711371310221E-68</c:v>
                </c:pt>
                <c:pt idx="53">
                  <c:v>-1.6598414195422073E-69</c:v>
                </c:pt>
                <c:pt idx="54">
                  <c:v>-6.3119449897916116E-71</c:v>
                </c:pt>
                <c:pt idx="55">
                  <c:v>-2.3997115062737065E-72</c:v>
                </c:pt>
                <c:pt idx="56">
                  <c:v>-9.1213845282456524E-74</c:v>
                </c:pt>
                <c:pt idx="57">
                  <c:v>-3.4663671875527442E-75</c:v>
                </c:pt>
                <c:pt idx="58">
                  <c:v>-1.3170617477632193E-76</c:v>
                </c:pt>
                <c:pt idx="59">
                  <c:v>-5.0033485111892483E-78</c:v>
                </c:pt>
                <c:pt idx="60">
                  <c:v>-1.9003925055642815E-79</c:v>
                </c:pt>
                <c:pt idx="61">
                  <c:v>-7.2170270481540882E-81</c:v>
                </c:pt>
                <c:pt idx="62">
                  <c:v>-2.7403752527827022E-82</c:v>
                </c:pt>
                <c:pt idx="63">
                  <c:v>-1.04040476927733E-83</c:v>
                </c:pt>
                <c:pt idx="64">
                  <c:v>-3.9494704281626529E-85</c:v>
                </c:pt>
                <c:pt idx="65">
                  <c:v>-1.4990738349998071E-86</c:v>
                </c:pt>
                <c:pt idx="66">
                  <c:v>-5.689288646753227E-88</c:v>
                </c:pt>
                <c:pt idx="67">
                  <c:v>-2.1589702037543606E-89</c:v>
                </c:pt>
                <c:pt idx="68">
                  <c:v>-8.1920353763799032E-91</c:v>
                </c:pt>
                <c:pt idx="69">
                  <c:v>-3.1081076608186848E-92</c:v>
                </c:pt>
                <c:pt idx="70">
                  <c:v>-1.1791301937905601E-93</c:v>
                </c:pt>
                <c:pt idx="71">
                  <c:v>-4.4729206397644319E-95</c:v>
                </c:pt>
                <c:pt idx="72">
                  <c:v>-1.6966273453444986E-96</c:v>
                </c:pt>
                <c:pt idx="73">
                  <c:v>-6.4350147804786827E-98</c:v>
                </c:pt>
                <c:pt idx="74">
                  <c:v>-2.4405196504828898E-99</c:v>
                </c:pt>
                <c:pt idx="75">
                  <c:v>-9.2552144501440048E-101</c:v>
                </c:pt>
                <c:pt idx="76">
                  <c:v>-3.5096492718610719E-102</c:v>
                </c:pt>
                <c:pt idx="77">
                  <c:v>-1.3308084371714921E-103</c:v>
                </c:pt>
                <c:pt idx="78">
                  <c:v>-5.0459554941671137E-105</c:v>
                </c:pt>
                <c:pt idx="79">
                  <c:v>-1.9131485453301074E-106</c:v>
                </c:pt>
                <c:pt idx="80">
                  <c:v>-7.2532501877607135E-108</c:v>
                </c:pt>
              </c:numCache>
            </c:numRef>
          </c:yVal>
          <c:smooth val="1"/>
        </c:ser>
        <c:ser>
          <c:idx val="1"/>
          <c:order val="2"/>
          <c:tx>
            <c:v>Diffusion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2'!$B$51:$B$131</c:f>
              <c:numCache>
                <c:formatCode>General</c:formatCode>
                <c:ptCount val="81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  <c:pt idx="25">
                  <c:v>200</c:v>
                </c:pt>
                <c:pt idx="26">
                  <c:v>208</c:v>
                </c:pt>
                <c:pt idx="27">
                  <c:v>216</c:v>
                </c:pt>
                <c:pt idx="28">
                  <c:v>224</c:v>
                </c:pt>
                <c:pt idx="29">
                  <c:v>232</c:v>
                </c:pt>
                <c:pt idx="30">
                  <c:v>240</c:v>
                </c:pt>
                <c:pt idx="31">
                  <c:v>248</c:v>
                </c:pt>
                <c:pt idx="32">
                  <c:v>256</c:v>
                </c:pt>
                <c:pt idx="33">
                  <c:v>264</c:v>
                </c:pt>
                <c:pt idx="34">
                  <c:v>272</c:v>
                </c:pt>
                <c:pt idx="35">
                  <c:v>280</c:v>
                </c:pt>
                <c:pt idx="36">
                  <c:v>288</c:v>
                </c:pt>
                <c:pt idx="37">
                  <c:v>296</c:v>
                </c:pt>
                <c:pt idx="38">
                  <c:v>304</c:v>
                </c:pt>
                <c:pt idx="39">
                  <c:v>312</c:v>
                </c:pt>
                <c:pt idx="40">
                  <c:v>320</c:v>
                </c:pt>
                <c:pt idx="41">
                  <c:v>328</c:v>
                </c:pt>
                <c:pt idx="42">
                  <c:v>336</c:v>
                </c:pt>
                <c:pt idx="43">
                  <c:v>344</c:v>
                </c:pt>
                <c:pt idx="44">
                  <c:v>352</c:v>
                </c:pt>
                <c:pt idx="45">
                  <c:v>360</c:v>
                </c:pt>
                <c:pt idx="46">
                  <c:v>368</c:v>
                </c:pt>
                <c:pt idx="47">
                  <c:v>376</c:v>
                </c:pt>
                <c:pt idx="48">
                  <c:v>384</c:v>
                </c:pt>
                <c:pt idx="49">
                  <c:v>392</c:v>
                </c:pt>
                <c:pt idx="50">
                  <c:v>400</c:v>
                </c:pt>
                <c:pt idx="51">
                  <c:v>408</c:v>
                </c:pt>
                <c:pt idx="52">
                  <c:v>416</c:v>
                </c:pt>
                <c:pt idx="53">
                  <c:v>424</c:v>
                </c:pt>
                <c:pt idx="54">
                  <c:v>432</c:v>
                </c:pt>
                <c:pt idx="55">
                  <c:v>440</c:v>
                </c:pt>
                <c:pt idx="56">
                  <c:v>448</c:v>
                </c:pt>
                <c:pt idx="57">
                  <c:v>456</c:v>
                </c:pt>
                <c:pt idx="58">
                  <c:v>464</c:v>
                </c:pt>
                <c:pt idx="59">
                  <c:v>472</c:v>
                </c:pt>
                <c:pt idx="60">
                  <c:v>480</c:v>
                </c:pt>
                <c:pt idx="61">
                  <c:v>488</c:v>
                </c:pt>
                <c:pt idx="62">
                  <c:v>496</c:v>
                </c:pt>
                <c:pt idx="63">
                  <c:v>504</c:v>
                </c:pt>
                <c:pt idx="64">
                  <c:v>512</c:v>
                </c:pt>
                <c:pt idx="65">
                  <c:v>520</c:v>
                </c:pt>
                <c:pt idx="66">
                  <c:v>528</c:v>
                </c:pt>
                <c:pt idx="67">
                  <c:v>536</c:v>
                </c:pt>
                <c:pt idx="68">
                  <c:v>544</c:v>
                </c:pt>
                <c:pt idx="69">
                  <c:v>552</c:v>
                </c:pt>
                <c:pt idx="70">
                  <c:v>560</c:v>
                </c:pt>
                <c:pt idx="71">
                  <c:v>568</c:v>
                </c:pt>
                <c:pt idx="72">
                  <c:v>576</c:v>
                </c:pt>
                <c:pt idx="73">
                  <c:v>584</c:v>
                </c:pt>
                <c:pt idx="74">
                  <c:v>592</c:v>
                </c:pt>
                <c:pt idx="75">
                  <c:v>600</c:v>
                </c:pt>
                <c:pt idx="76">
                  <c:v>608</c:v>
                </c:pt>
                <c:pt idx="77">
                  <c:v>616</c:v>
                </c:pt>
                <c:pt idx="78">
                  <c:v>624</c:v>
                </c:pt>
                <c:pt idx="79">
                  <c:v>632</c:v>
                </c:pt>
                <c:pt idx="80">
                  <c:v>640</c:v>
                </c:pt>
              </c:numCache>
            </c:numRef>
          </c:xVal>
          <c:yVal>
            <c:numRef>
              <c:f>'model 2'!$M$51:$M$131</c:f>
              <c:numCache>
                <c:formatCode>0.00</c:formatCode>
                <c:ptCount val="8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0.99999999999999933</c:v>
                </c:pt>
                <c:pt idx="5">
                  <c:v>0.99999999999946798</c:v>
                </c:pt>
                <c:pt idx="6">
                  <c:v>0.99999999995544453</c:v>
                </c:pt>
                <c:pt idx="7">
                  <c:v>0.99999999893516311</c:v>
                </c:pt>
                <c:pt idx="8">
                  <c:v>0.99999998839593229</c:v>
                </c:pt>
                <c:pt idx="9">
                  <c:v>0.99999992515897729</c:v>
                </c:pt>
                <c:pt idx="10">
                  <c:v>0.99999966587208866</c:v>
                </c:pt>
                <c:pt idx="11">
                  <c:v>0.9999988590051947</c:v>
                </c:pt>
                <c:pt idx="12">
                  <c:v>0.9999968143943252</c:v>
                </c:pt>
                <c:pt idx="13">
                  <c:v>0.9999923845037384</c:v>
                </c:pt>
                <c:pt idx="14">
                  <c:v>0.99998388800970117</c:v>
                </c:pt>
                <c:pt idx="15">
                  <c:v>0.99996909140621981</c:v>
                </c:pt>
                <c:pt idx="16">
                  <c:v>0.99994524813051355</c:v>
                </c:pt>
                <c:pt idx="17">
                  <c:v>0.99990918342588708</c:v>
                </c:pt>
                <c:pt idx="18">
                  <c:v>0.99985740824091796</c:v>
                </c:pt>
                <c:pt idx="19">
                  <c:v>0.9997862455338844</c:v>
                </c:pt>
                <c:pt idx="20">
                  <c:v>0.99969195529437238</c:v>
                </c:pt>
                <c:pt idx="21">
                  <c:v>0.99957084858678136</c:v>
                </c:pt>
                <c:pt idx="22">
                  <c:v>0.99941938480830572</c:v>
                </c:pt>
                <c:pt idx="23">
                  <c:v>0.99923424955757945</c:v>
                </c:pt>
                <c:pt idx="24">
                  <c:v>0.9990124128570621</c:v>
                </c:pt>
                <c:pt idx="25">
                  <c:v>0.99875116901191152</c:v>
                </c:pt>
                <c:pt idx="26">
                  <c:v>0.99844816026872474</c:v>
                </c:pt>
                <c:pt idx="27">
                  <c:v>0.99810138683003302</c:v>
                </c:pt>
                <c:pt idx="28">
                  <c:v>0.99770920584021194</c:v>
                </c:pt>
                <c:pt idx="29">
                  <c:v>0.99727032181069086</c:v>
                </c:pt>
                <c:pt idx="30">
                  <c:v>0.99678377068987301</c:v>
                </c:pt>
                <c:pt idx="31">
                  <c:v>0.9962488994707317</c:v>
                </c:pt>
                <c:pt idx="32">
                  <c:v>0.99566534290851361</c:v>
                </c:pt>
                <c:pt idx="33">
                  <c:v>0.99503299861767669</c:v>
                </c:pt>
                <c:pt idx="34">
                  <c:v>0.99435200154479286</c:v>
                </c:pt>
                <c:pt idx="35">
                  <c:v>0.99362269857831187</c:v>
                </c:pt>
                <c:pt idx="36">
                  <c:v>0.99284562385771569</c:v>
                </c:pt>
                <c:pt idx="37">
                  <c:v>0.99202147518166894</c:v>
                </c:pt>
                <c:pt idx="38">
                  <c:v>0.99115109178365501</c:v>
                </c:pt>
                <c:pt idx="39">
                  <c:v>0.99023543364022037</c:v>
                </c:pt>
                <c:pt idx="40">
                  <c:v>0.98927556239693981</c:v>
                </c:pt>
                <c:pt idx="41">
                  <c:v>0.98827262393669701</c:v>
                </c:pt>
                <c:pt idx="42">
                  <c:v>0.98722783257012003</c:v>
                </c:pt>
                <c:pt idx="43">
                  <c:v>0.98614245679599954</c:v>
                </c:pt>
                <c:pt idx="44">
                  <c:v>0.9850178065574795</c:v>
                </c:pt>
                <c:pt idx="45">
                  <c:v>0.98385522190563135</c:v>
                </c:pt>
                <c:pt idx="46">
                  <c:v>0.98265606297379837</c:v>
                </c:pt>
                <c:pt idx="47">
                  <c:v>0.98142170116241845</c:v>
                </c:pt>
                <c:pt idx="48">
                  <c:v>0.98015351143369234</c:v>
                </c:pt>
                <c:pt idx="49">
                  <c:v>0.97885286561751572</c:v>
                </c:pt>
                <c:pt idx="50">
                  <c:v>0.97752112663387436</c:v>
                </c:pt>
                <c:pt idx="51">
                  <c:v>0.97615964354174367</c:v>
                </c:pt>
                <c:pt idx="52">
                  <c:v>0.97476974733011845</c:v>
                </c:pt>
                <c:pt idx="53">
                  <c:v>0.97335274737271948</c:v>
                </c:pt>
                <c:pt idx="54">
                  <c:v>0.97190992847396984</c:v>
                </c:pt>
                <c:pt idx="55">
                  <c:v>0.97044254843984823</c:v>
                </c:pt>
                <c:pt idx="56">
                  <c:v>0.96895183611303581</c:v>
                </c:pt>
                <c:pt idx="57">
                  <c:v>0.96743898981737564</c:v>
                </c:pt>
                <c:pt idx="58">
                  <c:v>0.96590517616187865</c:v>
                </c:pt>
                <c:pt idx="59">
                  <c:v>0.96435152915947464</c:v>
                </c:pt>
                <c:pt idx="60">
                  <c:v>0.96277914962022759</c:v>
                </c:pt>
                <c:pt idx="61">
                  <c:v>0.96118910478295527</c:v>
                </c:pt>
                <c:pt idx="62">
                  <c:v>0.95958242815304295</c:v>
                </c:pt>
                <c:pt idx="63">
                  <c:v>0.95796011951773052</c:v>
                </c:pt>
                <c:pt idx="64">
                  <c:v>0.95632314511337357</c:v>
                </c:pt>
                <c:pt idx="65">
                  <c:v>0.95467243792202794</c:v>
                </c:pt>
                <c:pt idx="66">
                  <c:v>0.95300889807733569</c:v>
                </c:pt>
                <c:pt idx="67">
                  <c:v>0.95133339336202449</c:v>
                </c:pt>
                <c:pt idx="68">
                  <c:v>0.94964675978142732</c:v>
                </c:pt>
                <c:pt idx="69">
                  <c:v>0.94794980219933311</c:v>
                </c:pt>
                <c:pt idx="70">
                  <c:v>0.94624329502414062</c:v>
                </c:pt>
                <c:pt idx="71">
                  <c:v>0.94452798293480411</c:v>
                </c:pt>
                <c:pt idx="72">
                  <c:v>0.94280458163739733</c:v>
                </c:pt>
                <c:pt idx="73">
                  <c:v>0.94107377864430752</c:v>
                </c:pt>
                <c:pt idx="74">
                  <c:v>0.93933623406913247</c:v>
                </c:pt>
                <c:pt idx="75">
                  <c:v>0.9375925814312942</c:v>
                </c:pt>
                <c:pt idx="76">
                  <c:v>0.9358434284652053</c:v>
                </c:pt>
                <c:pt idx="77">
                  <c:v>0.93408935792956704</c:v>
                </c:pt>
                <c:pt idx="78">
                  <c:v>0.93233092841302256</c:v>
                </c:pt>
                <c:pt idx="79">
                  <c:v>0.93056867513295582</c:v>
                </c:pt>
                <c:pt idx="80">
                  <c:v>0.9288031107247483</c:v>
                </c:pt>
              </c:numCache>
            </c:numRef>
          </c:yVal>
          <c:smooth val="1"/>
        </c:ser>
        <c:ser>
          <c:idx val="2"/>
          <c:order val="3"/>
          <c:tx>
            <c:v>1st order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xVal>
            <c:numRef>
              <c:f>'model 2'!$B$51:$B$131</c:f>
              <c:numCache>
                <c:formatCode>General</c:formatCode>
                <c:ptCount val="81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  <c:pt idx="25">
                  <c:v>200</c:v>
                </c:pt>
                <c:pt idx="26">
                  <c:v>208</c:v>
                </c:pt>
                <c:pt idx="27">
                  <c:v>216</c:v>
                </c:pt>
                <c:pt idx="28">
                  <c:v>224</c:v>
                </c:pt>
                <c:pt idx="29">
                  <c:v>232</c:v>
                </c:pt>
                <c:pt idx="30">
                  <c:v>240</c:v>
                </c:pt>
                <c:pt idx="31">
                  <c:v>248</c:v>
                </c:pt>
                <c:pt idx="32">
                  <c:v>256</c:v>
                </c:pt>
                <c:pt idx="33">
                  <c:v>264</c:v>
                </c:pt>
                <c:pt idx="34">
                  <c:v>272</c:v>
                </c:pt>
                <c:pt idx="35">
                  <c:v>280</c:v>
                </c:pt>
                <c:pt idx="36">
                  <c:v>288</c:v>
                </c:pt>
                <c:pt idx="37">
                  <c:v>296</c:v>
                </c:pt>
                <c:pt idx="38">
                  <c:v>304</c:v>
                </c:pt>
                <c:pt idx="39">
                  <c:v>312</c:v>
                </c:pt>
                <c:pt idx="40">
                  <c:v>320</c:v>
                </c:pt>
                <c:pt idx="41">
                  <c:v>328</c:v>
                </c:pt>
                <c:pt idx="42">
                  <c:v>336</c:v>
                </c:pt>
                <c:pt idx="43">
                  <c:v>344</c:v>
                </c:pt>
                <c:pt idx="44">
                  <c:v>352</c:v>
                </c:pt>
                <c:pt idx="45">
                  <c:v>360</c:v>
                </c:pt>
                <c:pt idx="46">
                  <c:v>368</c:v>
                </c:pt>
                <c:pt idx="47">
                  <c:v>376</c:v>
                </c:pt>
                <c:pt idx="48">
                  <c:v>384</c:v>
                </c:pt>
                <c:pt idx="49">
                  <c:v>392</c:v>
                </c:pt>
                <c:pt idx="50">
                  <c:v>400</c:v>
                </c:pt>
                <c:pt idx="51">
                  <c:v>408</c:v>
                </c:pt>
                <c:pt idx="52">
                  <c:v>416</c:v>
                </c:pt>
                <c:pt idx="53">
                  <c:v>424</c:v>
                </c:pt>
                <c:pt idx="54">
                  <c:v>432</c:v>
                </c:pt>
                <c:pt idx="55">
                  <c:v>440</c:v>
                </c:pt>
                <c:pt idx="56">
                  <c:v>448</c:v>
                </c:pt>
                <c:pt idx="57">
                  <c:v>456</c:v>
                </c:pt>
                <c:pt idx="58">
                  <c:v>464</c:v>
                </c:pt>
                <c:pt idx="59">
                  <c:v>472</c:v>
                </c:pt>
                <c:pt idx="60">
                  <c:v>480</c:v>
                </c:pt>
                <c:pt idx="61">
                  <c:v>488</c:v>
                </c:pt>
                <c:pt idx="62">
                  <c:v>496</c:v>
                </c:pt>
                <c:pt idx="63">
                  <c:v>504</c:v>
                </c:pt>
                <c:pt idx="64">
                  <c:v>512</c:v>
                </c:pt>
                <c:pt idx="65">
                  <c:v>520</c:v>
                </c:pt>
                <c:pt idx="66">
                  <c:v>528</c:v>
                </c:pt>
                <c:pt idx="67">
                  <c:v>536</c:v>
                </c:pt>
                <c:pt idx="68">
                  <c:v>544</c:v>
                </c:pt>
                <c:pt idx="69">
                  <c:v>552</c:v>
                </c:pt>
                <c:pt idx="70">
                  <c:v>560</c:v>
                </c:pt>
                <c:pt idx="71">
                  <c:v>568</c:v>
                </c:pt>
                <c:pt idx="72">
                  <c:v>576</c:v>
                </c:pt>
                <c:pt idx="73">
                  <c:v>584</c:v>
                </c:pt>
                <c:pt idx="74">
                  <c:v>592</c:v>
                </c:pt>
                <c:pt idx="75">
                  <c:v>600</c:v>
                </c:pt>
                <c:pt idx="76">
                  <c:v>608</c:v>
                </c:pt>
                <c:pt idx="77">
                  <c:v>616</c:v>
                </c:pt>
                <c:pt idx="78">
                  <c:v>624</c:v>
                </c:pt>
                <c:pt idx="79">
                  <c:v>632</c:v>
                </c:pt>
                <c:pt idx="80">
                  <c:v>640</c:v>
                </c:pt>
              </c:numCache>
            </c:numRef>
          </c:xVal>
          <c:yVal>
            <c:numRef>
              <c:f>'model 2'!$N$51:$N$131</c:f>
              <c:numCache>
                <c:formatCode>0.00</c:formatCode>
                <c:ptCount val="81"/>
                <c:pt idx="0">
                  <c:v>1</c:v>
                </c:pt>
                <c:pt idx="1">
                  <c:v>0.71434874322441289</c:v>
                </c:pt>
                <c:pt idx="2">
                  <c:v>0.51029412694629817</c:v>
                </c:pt>
                <c:pt idx="3">
                  <c:v>0.36452796825888717</c:v>
                </c:pt>
                <c:pt idx="4">
                  <c:v>0.26040009599588471</c:v>
                </c:pt>
                <c:pt idx="5">
                  <c:v>0.18601648131017673</c:v>
                </c:pt>
                <c:pt idx="6">
                  <c:v>0.13288063964295224</c:v>
                </c:pt>
                <c:pt idx="7">
                  <c:v>9.4923117927799006E-2</c:v>
                </c:pt>
                <c:pt idx="8">
                  <c:v>6.7808209994665969E-2</c:v>
                </c:pt>
                <c:pt idx="9">
                  <c:v>4.8438709589986723E-2</c:v>
                </c:pt>
                <c:pt idx="10">
                  <c:v>3.4602131319019326E-2</c:v>
                </c:pt>
                <c:pt idx="11">
                  <c:v>2.4717989020627548E-2</c:v>
                </c:pt>
                <c:pt idx="12">
                  <c:v>1.7657264391920131E-2</c:v>
                </c:pt>
                <c:pt idx="13">
                  <c:v>1.2613444627149325E-2</c:v>
                </c:pt>
                <c:pt idx="14">
                  <c:v>9.0103983171348368E-3</c:v>
                </c:pt>
                <c:pt idx="15">
                  <c:v>6.4365667137966376E-3</c:v>
                </c:pt>
                <c:pt idx="16">
                  <c:v>4.5979533426807181E-3</c:v>
                </c:pt>
                <c:pt idx="17">
                  <c:v>3.2845421917484605E-3</c:v>
                </c:pt>
                <c:pt idx="18">
                  <c:v>2.3463085867430717E-3</c:v>
                </c:pt>
                <c:pt idx="19">
                  <c:v>1.6760825901565607E-3</c:v>
                </c:pt>
                <c:pt idx="20">
                  <c:v>1.1973074918186582E-3</c:v>
                </c:pt>
                <c:pt idx="21">
                  <c:v>8.5529510203383261E-4</c:v>
                </c:pt>
                <c:pt idx="22">
                  <c:v>6.1097898122386396E-4</c:v>
                </c:pt>
                <c:pt idx="23">
                  <c:v>4.3645206737379951E-4</c:v>
                </c:pt>
                <c:pt idx="24">
                  <c:v>3.117789858061705E-4</c:v>
                </c:pt>
                <c:pt idx="25">
                  <c:v>2.2271892667441985E-4</c:v>
                </c:pt>
                <c:pt idx="26">
                  <c:v>1.5909898536216216E-4</c:v>
                </c:pt>
                <c:pt idx="27">
                  <c:v>1.1365216024173973E-4</c:v>
                </c:pt>
                <c:pt idx="28">
                  <c:v>8.1187277833426303E-5</c:v>
                </c:pt>
                <c:pt idx="29">
                  <c:v>5.7996029886119389E-5</c:v>
                </c:pt>
                <c:pt idx="30">
                  <c:v>4.1429391061154846E-5</c:v>
                </c:pt>
                <c:pt idx="31">
                  <c:v>2.9595033437088724E-5</c:v>
                </c:pt>
                <c:pt idx="32">
                  <c:v>2.1141174941468792E-5</c:v>
                </c:pt>
                <c:pt idx="33">
                  <c:v>1.5102171749725673E-5</c:v>
                </c:pt>
                <c:pt idx="34">
                  <c:v>1.078821740937578E-5</c:v>
                </c:pt>
                <c:pt idx="35">
                  <c:v>7.7065495480193145E-6</c:v>
                </c:pt>
                <c:pt idx="36">
                  <c:v>5.5051639842242707E-6</c:v>
                </c:pt>
                <c:pt idx="37">
                  <c:v>3.932606973374907E-6</c:v>
                </c:pt>
                <c:pt idx="38">
                  <c:v>2.809252849025925E-6</c:v>
                </c:pt>
                <c:pt idx="39">
                  <c:v>2.0067862421012732E-6</c:v>
                </c:pt>
                <c:pt idx="40">
                  <c:v>1.433545229965086E-6</c:v>
                </c:pt>
                <c:pt idx="41">
                  <c:v>1.0240512333809106E-6</c:v>
                </c:pt>
                <c:pt idx="42">
                  <c:v>7.315297115630642E-7</c:v>
                </c:pt>
                <c:pt idx="43">
                  <c:v>5.225673300863918E-7</c:v>
                </c:pt>
                <c:pt idx="44">
                  <c:v>3.7329531549735068E-7</c:v>
                </c:pt>
                <c:pt idx="45">
                  <c:v>2.6666303947709347E-7</c:v>
                </c:pt>
                <c:pt idx="46">
                  <c:v>1.904904071148636E-7</c:v>
                </c:pt>
                <c:pt idx="47">
                  <c:v>1.3607658291880973E-7</c:v>
                </c:pt>
                <c:pt idx="48">
                  <c:v>9.7206135990324284E-8</c:v>
                </c:pt>
                <c:pt idx="49">
                  <c:v>6.9439081078389597E-8</c:v>
                </c:pt>
                <c:pt idx="50">
                  <c:v>4.9603720299005597E-8</c:v>
                </c:pt>
                <c:pt idx="51">
                  <c:v>3.5434355254849988E-8</c:v>
                </c:pt>
                <c:pt idx="52">
                  <c:v>2.531248714326949E-8</c:v>
                </c:pt>
                <c:pt idx="53">
                  <c:v>1.8081943378678627E-8</c:v>
                </c:pt>
                <c:pt idx="54">
                  <c:v>1.2916813527614086E-8</c:v>
                </c:pt>
                <c:pt idx="55">
                  <c:v>9.2271095099152277E-9</c:v>
                </c:pt>
                <c:pt idx="56">
                  <c:v>6.5913740820019547E-9</c:v>
                </c:pt>
                <c:pt idx="57">
                  <c:v>4.7085397916000701E-9</c:v>
                </c:pt>
                <c:pt idx="58">
                  <c:v>3.3635394825516527E-9</c:v>
                </c:pt>
                <c:pt idx="59">
                  <c:v>2.4027402021464679E-9</c:v>
                </c:pt>
                <c:pt idx="60">
                  <c:v>1.7163944436980971E-9</c:v>
                </c:pt>
                <c:pt idx="61">
                  <c:v>1.2261042137331024E-9</c:v>
                </c:pt>
                <c:pt idx="62">
                  <c:v>8.758660041423996E-10</c:v>
                </c:pt>
                <c:pt idx="63">
                  <c:v>6.2567377929211006E-10</c:v>
                </c:pt>
                <c:pt idx="64">
                  <c:v>4.4694927790578801E-10</c:v>
                </c:pt>
                <c:pt idx="65">
                  <c:v>3.1927765495705889E-10</c:v>
                </c:pt>
                <c:pt idx="66">
                  <c:v>2.2807559155821221E-10</c:v>
                </c:pt>
                <c:pt idx="67">
                  <c:v>1.6292551218977358E-10</c:v>
                </c:pt>
                <c:pt idx="68">
                  <c:v>1.1638563487195866E-10</c:v>
                </c:pt>
                <c:pt idx="69">
                  <c:v>8.3139932000158867E-11</c:v>
                </c:pt>
                <c:pt idx="70">
                  <c:v>5.9390905936076704E-11</c:v>
                </c:pt>
                <c:pt idx="71">
                  <c:v>4.2425819014395766E-11</c:v>
                </c:pt>
                <c:pt idx="72">
                  <c:v>3.0306830493200051E-11</c:v>
                </c:pt>
                <c:pt idx="73">
                  <c:v>2.1649646273932715E-11</c:v>
                </c:pt>
                <c:pt idx="74">
                  <c:v>1.5465397607036947E-11</c:v>
                </c:pt>
                <c:pt idx="75">
                  <c:v>1.1047687344052698E-11</c:v>
                </c:pt>
                <c:pt idx="76">
                  <c:v>7.8919015697602773E-12</c:v>
                </c:pt>
                <c:pt idx="77">
                  <c:v>5.6375699680090319E-12</c:v>
                </c:pt>
                <c:pt idx="78">
                  <c:v>4.0271910214869503E-12</c:v>
                </c:pt>
                <c:pt idx="79">
                  <c:v>2.8768188449238357E-12</c:v>
                </c:pt>
                <c:pt idx="80">
                  <c:v>2.0550519263556514E-12</c:v>
                </c:pt>
              </c:numCache>
            </c:numRef>
          </c:yVal>
          <c:smooth val="1"/>
        </c:ser>
        <c:axId val="108058112"/>
        <c:axId val="108060032"/>
      </c:scatterChart>
      <c:valAx>
        <c:axId val="108058112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(years)</a:t>
                </a:r>
              </a:p>
            </c:rich>
          </c:tx>
          <c:layout>
            <c:manualLayout>
              <c:xMode val="edge"/>
              <c:yMode val="edge"/>
              <c:x val="0.32839583940896333"/>
              <c:y val="0.9367691333665271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8060032"/>
        <c:crosses val="autoZero"/>
        <c:crossBetween val="midCat"/>
      </c:valAx>
      <c:valAx>
        <c:axId val="108060032"/>
        <c:scaling>
          <c:orientation val="minMax"/>
          <c:min val="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(mg/L)</a:t>
                </a:r>
              </a:p>
            </c:rich>
          </c:tx>
          <c:layout>
            <c:manualLayout>
              <c:xMode val="edge"/>
              <c:yMode val="edge"/>
              <c:x val="4.1975308641975198E-2"/>
              <c:y val="0.39344311469263082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8058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9207823645098"/>
          <c:y val="0.32318550345141317"/>
          <c:w val="0.19350558921071917"/>
          <c:h val="0.3138175760816793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>
        <c:manualLayout>
          <c:layoutTarget val="inner"/>
          <c:xMode val="edge"/>
          <c:yMode val="edge"/>
          <c:x val="0.1449631449631453"/>
          <c:y val="0.15023508618298512"/>
          <c:w val="0.61646968540862523"/>
          <c:h val="0.79342904890388766"/>
        </c:manualLayout>
      </c:layout>
      <c:scatterChart>
        <c:scatterStyle val="smoothMarker"/>
        <c:ser>
          <c:idx val="0"/>
          <c:order val="0"/>
          <c:tx>
            <c:v>fracture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'model 2'!$D$51:$D$131</c:f>
              <c:numCache>
                <c:formatCode>0.00</c:formatCode>
                <c:ptCount val="81"/>
                <c:pt idx="0">
                  <c:v>1</c:v>
                </c:pt>
                <c:pt idx="1">
                  <c:v>0.64305450666299713</c:v>
                </c:pt>
                <c:pt idx="2">
                  <c:v>0.48517741515973256</c:v>
                </c:pt>
                <c:pt idx="3">
                  <c:v>0.40514341910362672</c:v>
                </c:pt>
                <c:pt idx="4">
                  <c:v>0.35488385994661154</c:v>
                </c:pt>
                <c:pt idx="5">
                  <c:v>0.31961113505348426</c:v>
                </c:pt>
                <c:pt idx="6">
                  <c:v>0.293112606312395</c:v>
                </c:pt>
                <c:pt idx="7">
                  <c:v>0.27226800746082747</c:v>
                </c:pt>
                <c:pt idx="8">
                  <c:v>0.2553170486156926</c:v>
                </c:pt>
                <c:pt idx="9">
                  <c:v>0.24118173913159291</c:v>
                </c:pt>
                <c:pt idx="10">
                  <c:v>0.22916026916047194</c:v>
                </c:pt>
                <c:pt idx="11">
                  <c:v>0.2187735309904546</c:v>
                </c:pt>
                <c:pt idx="12">
                  <c:v>0.2096818108898344</c:v>
                </c:pt>
                <c:pt idx="13">
                  <c:v>0.20163664683365412</c:v>
                </c:pt>
                <c:pt idx="14">
                  <c:v>0.19445155954529891</c:v>
                </c:pt>
                <c:pt idx="15">
                  <c:v>0.18798349444108364</c:v>
                </c:pt>
                <c:pt idx="16">
                  <c:v>0.18212063115401023</c:v>
                </c:pt>
                <c:pt idx="17">
                  <c:v>0.17677413017861299</c:v>
                </c:pt>
                <c:pt idx="18">
                  <c:v>0.17187239722131986</c:v>
                </c:pt>
                <c:pt idx="19">
                  <c:v>0.16735700527206343</c:v>
                </c:pt>
                <c:pt idx="20">
                  <c:v>0.16317973643371531</c:v>
                </c:pt>
                <c:pt idx="21">
                  <c:v>0.15930039740667734</c:v>
                </c:pt>
                <c:pt idx="22">
                  <c:v>0.15568518035743084</c:v>
                </c:pt>
                <c:pt idx="23">
                  <c:v>0.15230541524047836</c:v>
                </c:pt>
                <c:pt idx="24">
                  <c:v>0.14913660768704262</c:v>
                </c:pt>
                <c:pt idx="25">
                  <c:v>0.14615768830214293</c:v>
                </c:pt>
                <c:pt idx="26">
                  <c:v>0.1433504205790086</c:v>
                </c:pt>
                <c:pt idx="27">
                  <c:v>0.14069892928775607</c:v>
                </c:pt>
                <c:pt idx="28">
                  <c:v>0.1381893214012373</c:v>
                </c:pt>
                <c:pt idx="29">
                  <c:v>0.13580937883859923</c:v>
                </c:pt>
                <c:pt idx="30">
                  <c:v>0.13354830748177271</c:v>
                </c:pt>
                <c:pt idx="31">
                  <c:v>0.13139653067729062</c:v>
                </c:pt>
                <c:pt idx="32">
                  <c:v>0.12934551819594264</c:v>
                </c:pt>
                <c:pt idx="33">
                  <c:v>0.12738764367260136</c:v>
                </c:pt>
                <c:pt idx="34">
                  <c:v>0.1255160650863707</c:v>
                </c:pt>
                <c:pt idx="35">
                  <c:v>0.1237246240058818</c:v>
                </c:pt>
                <c:pt idx="36">
                  <c:v>0.12200776021446424</c:v>
                </c:pt>
                <c:pt idx="37">
                  <c:v>0.12036043901556703</c:v>
                </c:pt>
                <c:pt idx="38">
                  <c:v>0.11877808905119225</c:v>
                </c:pt>
                <c:pt idx="39">
                  <c:v>0.11725654888255366</c:v>
                </c:pt>
                <c:pt idx="40">
                  <c:v>0.11579202091019702</c:v>
                </c:pt>
                <c:pt idx="41">
                  <c:v>0.11438103147088552</c:v>
                </c:pt>
                <c:pt idx="42">
                  <c:v>0.11302039615602077</c:v>
                </c:pt>
                <c:pt idx="43">
                  <c:v>0.11170718956287207</c:v>
                </c:pt>
                <c:pt idx="44">
                  <c:v>0.11043871882422174</c:v>
                </c:pt>
                <c:pt idx="45">
                  <c:v>0.10921250037103403</c:v>
                </c:pt>
                <c:pt idx="46">
                  <c:v>0.10802623947161605</c:v>
                </c:pt>
                <c:pt idx="47">
                  <c:v>0.10687781216354031</c:v>
                </c:pt>
                <c:pt idx="48">
                  <c:v>0.10576524925451758</c:v>
                </c:pt>
                <c:pt idx="49">
                  <c:v>0.10468672211794594</c:v>
                </c:pt>
                <c:pt idx="50">
                  <c:v>0.10364053004996787</c:v>
                </c:pt>
                <c:pt idx="51">
                  <c:v>0.10262508898914602</c:v>
                </c:pt>
                <c:pt idx="52">
                  <c:v>0.10163892142853048</c:v>
                </c:pt>
                <c:pt idx="53">
                  <c:v>0.10068064737396565</c:v>
                </c:pt>
                <c:pt idx="54">
                  <c:v>9.974897622277612E-2</c:v>
                </c:pt>
                <c:pt idx="55">
                  <c:v>9.8842699454119609E-2</c:v>
                </c:pt>
                <c:pt idx="56">
                  <c:v>9.7960684036848322E-2</c:v>
                </c:pt>
                <c:pt idx="57">
                  <c:v>9.7101866473102483E-2</c:v>
                </c:pt>
                <c:pt idx="58">
                  <c:v>9.626524740642961E-2</c:v>
                </c:pt>
                <c:pt idx="59">
                  <c:v>9.5449886732268618E-2</c:v>
                </c:pt>
                <c:pt idx="60">
                  <c:v>9.4654899156402239E-2</c:v>
                </c:pt>
                <c:pt idx="61">
                  <c:v>9.3879450153672384E-2</c:v>
                </c:pt>
                <c:pt idx="62">
                  <c:v>9.3122752285012877E-2</c:v>
                </c:pt>
                <c:pt idx="63">
                  <c:v>9.2384061835849129E-2</c:v>
                </c:pt>
                <c:pt idx="64">
                  <c:v>9.1662675743244382E-2</c:v>
                </c:pt>
                <c:pt idx="65">
                  <c:v>9.0957928782930075E-2</c:v>
                </c:pt>
                <c:pt idx="66">
                  <c:v>9.0269190990636572E-2</c:v>
                </c:pt>
                <c:pt idx="67">
                  <c:v>8.9595865295007959E-2</c:v>
                </c:pt>
                <c:pt idx="68">
                  <c:v>8.8937385341881114E-2</c:v>
                </c:pt>
                <c:pt idx="69">
                  <c:v>8.8293213491914102E-2</c:v>
                </c:pt>
                <c:pt idx="70">
                  <c:v>8.7662838975471225E-2</c:v>
                </c:pt>
                <c:pt idx="71">
                  <c:v>8.7045776190376234E-2</c:v>
                </c:pt>
                <c:pt idx="72">
                  <c:v>8.6441563129641796E-2</c:v>
                </c:pt>
                <c:pt idx="73">
                  <c:v>8.5849759927605129E-2</c:v>
                </c:pt>
                <c:pt idx="74">
                  <c:v>8.5269947514074795E-2</c:v>
                </c:pt>
                <c:pt idx="75">
                  <c:v>8.4701726367133467E-2</c:v>
                </c:pt>
                <c:pt idx="76">
                  <c:v>8.4144715356157862E-2</c:v>
                </c:pt>
                <c:pt idx="77">
                  <c:v>8.3598550667448812E-2</c:v>
                </c:pt>
                <c:pt idx="78">
                  <c:v>8.3062884805585657E-2</c:v>
                </c:pt>
                <c:pt idx="79">
                  <c:v>8.2537385664278817E-2</c:v>
                </c:pt>
                <c:pt idx="80">
                  <c:v>8.2021735661076844E-2</c:v>
                </c:pt>
              </c:numCache>
            </c:numRef>
          </c:xVal>
          <c:yVal>
            <c:numRef>
              <c:f>'model 2'!$A$51:$A$131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'model 2'!$E$50</c:f>
              <c:strCache>
                <c:ptCount val="1"/>
                <c:pt idx="0">
                  <c:v>0.1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2'!$E$51:$E$131</c:f>
              <c:numCache>
                <c:formatCode>0.00</c:formatCode>
                <c:ptCount val="81"/>
                <c:pt idx="0">
                  <c:v>1</c:v>
                </c:pt>
                <c:pt idx="1">
                  <c:v>0.78649669701902836</c:v>
                </c:pt>
                <c:pt idx="2">
                  <c:v>0.62091249561885276</c:v>
                </c:pt>
                <c:pt idx="3">
                  <c:v>0.52734025387719341</c:v>
                </c:pt>
                <c:pt idx="4">
                  <c:v>0.46601656729229424</c:v>
                </c:pt>
                <c:pt idx="5">
                  <c:v>0.42197624364197894</c:v>
                </c:pt>
                <c:pt idx="6">
                  <c:v>0.3884091884491998</c:v>
                </c:pt>
                <c:pt idx="7">
                  <c:v>0.3617405341254738</c:v>
                </c:pt>
                <c:pt idx="8">
                  <c:v>0.33989548522266766</c:v>
                </c:pt>
                <c:pt idx="9">
                  <c:v>0.32157795594367311</c:v>
                </c:pt>
                <c:pt idx="10">
                  <c:v>0.30593163020773484</c:v>
                </c:pt>
                <c:pt idx="11">
                  <c:v>0.29236523672225823</c:v>
                </c:pt>
                <c:pt idx="12">
                  <c:v>0.28045571764980903</c:v>
                </c:pt>
                <c:pt idx="13">
                  <c:v>0.26989136008032166</c:v>
                </c:pt>
                <c:pt idx="14">
                  <c:v>0.26043677114280617</c:v>
                </c:pt>
                <c:pt idx="15">
                  <c:v>0.2519104331840043</c:v>
                </c:pt>
                <c:pt idx="16">
                  <c:v>0.24416982861062686</c:v>
                </c:pt>
                <c:pt idx="17">
                  <c:v>0.23710129269730928</c:v>
                </c:pt>
                <c:pt idx="18">
                  <c:v>0.23061291595084432</c:v>
                </c:pt>
                <c:pt idx="19">
                  <c:v>0.22462946931323446</c:v>
                </c:pt>
                <c:pt idx="20">
                  <c:v>0.21908870459629792</c:v>
                </c:pt>
                <c:pt idx="21">
                  <c:v>0.21393861048432528</c:v>
                </c:pt>
                <c:pt idx="22">
                  <c:v>0.20913534555176305</c:v>
                </c:pt>
                <c:pt idx="23">
                  <c:v>0.2046416593967002</c:v>
                </c:pt>
                <c:pt idx="24">
                  <c:v>0.20042567129301836</c:v>
                </c:pt>
                <c:pt idx="25">
                  <c:v>0.19645991448167055</c:v>
                </c:pt>
                <c:pt idx="26">
                  <c:v>0.19272058042674445</c:v>
                </c:pt>
                <c:pt idx="27">
                  <c:v>0.18918691540795374</c:v>
                </c:pt>
                <c:pt idx="28">
                  <c:v>0.18584073444664062</c:v>
                </c:pt>
                <c:pt idx="29">
                  <c:v>0.18266602652467778</c:v>
                </c:pt>
                <c:pt idx="30">
                  <c:v>0.17964863150335741</c:v>
                </c:pt>
                <c:pt idx="31">
                  <c:v>0.17677597384572463</c:v>
                </c:pt>
                <c:pt idx="32">
                  <c:v>0.17403684170599631</c:v>
                </c:pt>
                <c:pt idx="33">
                  <c:v>0.17142120252642212</c:v>
                </c:pt>
                <c:pt idx="34">
                  <c:v>0.168920048219944</c:v>
                </c:pt>
                <c:pt idx="35">
                  <c:v>0.16652526448819382</c:v>
                </c:pt>
                <c:pt idx="36">
                  <c:v>0.16422951995096469</c:v>
                </c:pt>
                <c:pt idx="37">
                  <c:v>0.16202617163305533</c:v>
                </c:pt>
                <c:pt idx="38">
                  <c:v>0.15990918403107002</c:v>
                </c:pt>
                <c:pt idx="39">
                  <c:v>0.15787305951301889</c:v>
                </c:pt>
                <c:pt idx="40">
                  <c:v>0.15591277822194916</c:v>
                </c:pt>
                <c:pt idx="41">
                  <c:v>0.15402374598708479</c:v>
                </c:pt>
                <c:pt idx="42">
                  <c:v>0.15220174901140404</c:v>
                </c:pt>
                <c:pt idx="43">
                  <c:v>0.15044291431791357</c:v>
                </c:pt>
                <c:pt idx="44">
                  <c:v>0.14874367510925524</c:v>
                </c:pt>
                <c:pt idx="45">
                  <c:v>0.14710074033530418</c:v>
                </c:pt>
                <c:pt idx="46">
                  <c:v>0.14551106787772006</c:v>
                </c:pt>
                <c:pt idx="47">
                  <c:v>0.14397184085417569</c:v>
                </c:pt>
                <c:pt idx="48">
                  <c:v>0.14248044662222847</c:v>
                </c:pt>
                <c:pt idx="49">
                  <c:v>0.14103445812673709</c:v>
                </c:pt>
                <c:pt idx="50">
                  <c:v>0.13963161728783513</c:v>
                </c:pt>
                <c:pt idx="51">
                  <c:v>0.13826982017079748</c:v>
                </c:pt>
                <c:pt idx="52">
                  <c:v>0.13694710371623664</c:v>
                </c:pt>
                <c:pt idx="53">
                  <c:v>0.13566163384026075</c:v>
                </c:pt>
                <c:pt idx="54">
                  <c:v>0.13441169474052983</c:v>
                </c:pt>
                <c:pt idx="55">
                  <c:v>0.13319567926640108</c:v>
                </c:pt>
                <c:pt idx="56">
                  <c:v>0.13201208023026267</c:v>
                </c:pt>
                <c:pt idx="57">
                  <c:v>0.13085948255324009</c:v>
                </c:pt>
                <c:pt idx="58">
                  <c:v>0.12973655615220903</c:v>
                </c:pt>
                <c:pt idx="59">
                  <c:v>0.12864204948682589</c:v>
                </c:pt>
                <c:pt idx="60">
                  <c:v>0.12757478369539732</c:v>
                </c:pt>
                <c:pt idx="61">
                  <c:v>0.12653364725712768</c:v>
                </c:pt>
                <c:pt idx="62">
                  <c:v>0.12551759112579886</c:v>
                </c:pt>
                <c:pt idx="63">
                  <c:v>0.12452562428645764</c:v>
                </c:pt>
                <c:pt idx="64">
                  <c:v>0.12355680969232963</c:v>
                </c:pt>
                <c:pt idx="65">
                  <c:v>0.12261026054409507</c:v>
                </c:pt>
                <c:pt idx="66">
                  <c:v>0.12168513687795213</c:v>
                </c:pt>
                <c:pt idx="67">
                  <c:v>0.12078064243263054</c:v>
                </c:pt>
                <c:pt idx="68">
                  <c:v>0.11989602176879655</c:v>
                </c:pt>
                <c:pt idx="69">
                  <c:v>0.1190305576171693</c:v>
                </c:pt>
                <c:pt idx="70">
                  <c:v>0.11818356843419431</c:v>
                </c:pt>
                <c:pt idx="71">
                  <c:v>0.1173544061463403</c:v>
                </c:pt>
                <c:pt idx="72">
                  <c:v>0.11654245406606178</c:v>
                </c:pt>
                <c:pt idx="73">
                  <c:v>0.11574712496419437</c:v>
                </c:pt>
                <c:pt idx="74">
                  <c:v>0.11496785928509423</c:v>
                </c:pt>
                <c:pt idx="75">
                  <c:v>0.11420412349219444</c:v>
                </c:pt>
                <c:pt idx="76">
                  <c:v>0.11345540853286629</c:v>
                </c:pt>
                <c:pt idx="77">
                  <c:v>0.1127212284125465</c:v>
                </c:pt>
                <c:pt idx="78">
                  <c:v>0.11200111886905928</c:v>
                </c:pt>
                <c:pt idx="79">
                  <c:v>0.11129463613891599</c:v>
                </c:pt>
                <c:pt idx="80">
                  <c:v>0.11060135580814556</c:v>
                </c:pt>
              </c:numCache>
            </c:numRef>
          </c:xVal>
          <c:yVal>
            <c:numRef>
              <c:f>'model 2'!$A$51:$A$131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'model 2'!$F$50</c:f>
              <c:strCache>
                <c:ptCount val="1"/>
                <c:pt idx="0">
                  <c:v>0.2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'model 2'!$F$51:$F$131</c:f>
              <c:numCache>
                <c:formatCode>0.00</c:formatCode>
                <c:ptCount val="81"/>
                <c:pt idx="0">
                  <c:v>1</c:v>
                </c:pt>
                <c:pt idx="1">
                  <c:v>0.88283356531487445</c:v>
                </c:pt>
                <c:pt idx="2">
                  <c:v>0.73205646249370893</c:v>
                </c:pt>
                <c:pt idx="3">
                  <c:v>0.63427228425117388</c:v>
                </c:pt>
                <c:pt idx="4">
                  <c:v>0.56655850227739091</c:v>
                </c:pt>
                <c:pt idx="5">
                  <c:v>0.5164566068372558</c:v>
                </c:pt>
                <c:pt idx="6">
                  <c:v>0.47754669989528464</c:v>
                </c:pt>
                <c:pt idx="7">
                  <c:v>0.44623205898189822</c:v>
                </c:pt>
                <c:pt idx="8">
                  <c:v>0.42033869491405995</c:v>
                </c:pt>
                <c:pt idx="9">
                  <c:v>0.39847010545365946</c:v>
                </c:pt>
                <c:pt idx="10">
                  <c:v>0.37968457375799591</c:v>
                </c:pt>
                <c:pt idx="11">
                  <c:v>0.3633216082218973</c:v>
                </c:pt>
                <c:pt idx="12">
                  <c:v>0.34890274017788814</c:v>
                </c:pt>
                <c:pt idx="13">
                  <c:v>0.33607187309372644</c:v>
                </c:pt>
                <c:pt idx="14">
                  <c:v>0.32455785321663355</c:v>
                </c:pt>
                <c:pt idx="15">
                  <c:v>0.31415011855083996</c:v>
                </c:pt>
                <c:pt idx="16">
                  <c:v>0.30468235696247059</c:v>
                </c:pt>
                <c:pt idx="17">
                  <c:v>0.29602124014816544</c:v>
                </c:pt>
                <c:pt idx="18">
                  <c:v>0.2880584719937731</c:v>
                </c:pt>
                <c:pt idx="19">
                  <c:v>0.28070505863108375</c:v>
                </c:pt>
                <c:pt idx="20">
                  <c:v>0.27388710269227445</c:v>
                </c:pt>
                <c:pt idx="21">
                  <c:v>0.26754266507410485</c:v>
                </c:pt>
                <c:pt idx="22">
                  <c:v>0.26161938833504594</c:v>
                </c:pt>
                <c:pt idx="23">
                  <c:v>0.25607267263898614</c:v>
                </c:pt>
                <c:pt idx="24">
                  <c:v>0.25086425866565154</c:v>
                </c:pt>
                <c:pt idx="25">
                  <c:v>0.24596111441706547</c:v>
                </c:pt>
                <c:pt idx="26">
                  <c:v>0.24133455182542352</c:v>
                </c:pt>
                <c:pt idx="27">
                  <c:v>0.23695951914964608</c:v>
                </c:pt>
                <c:pt idx="28">
                  <c:v>0.23281402927904593</c:v>
                </c:pt>
                <c:pt idx="29">
                  <c:v>0.22887869414659545</c:v>
                </c:pt>
                <c:pt idx="30">
                  <c:v>0.2251363427438835</c:v>
                </c:pt>
                <c:pt idx="31">
                  <c:v>0.22157170556290451</c:v>
                </c:pt>
                <c:pt idx="32">
                  <c:v>0.21817115223506134</c:v>
                </c:pt>
                <c:pt idx="33">
                  <c:v>0.21492247208672777</c:v>
                </c:pt>
                <c:pt idx="34">
                  <c:v>0.21181468955639993</c:v>
                </c:pt>
                <c:pt idx="35">
                  <c:v>0.20883790811350811</c:v>
                </c:pt>
                <c:pt idx="36">
                  <c:v>0.20598317762088358</c:v>
                </c:pt>
                <c:pt idx="37">
                  <c:v>0.20324238109083481</c:v>
                </c:pt>
                <c:pt idx="38">
                  <c:v>0.20060813757104534</c:v>
                </c:pt>
                <c:pt idx="39">
                  <c:v>0.19807371851416078</c:v>
                </c:pt>
                <c:pt idx="40">
                  <c:v>0.19563297547340341</c:v>
                </c:pt>
                <c:pt idx="41">
                  <c:v>0.19328027735530684</c:v>
                </c:pt>
                <c:pt idx="42">
                  <c:v>0.19101045577189724</c:v>
                </c:pt>
                <c:pt idx="43">
                  <c:v>0.18881875728526998</c:v>
                </c:pt>
                <c:pt idx="44">
                  <c:v>0.18670080154037882</c:v>
                </c:pt>
                <c:pt idx="45">
                  <c:v>0.18465254444695045</c:v>
                </c:pt>
                <c:pt idx="46">
                  <c:v>0.18267024570642731</c:v>
                </c:pt>
                <c:pt idx="47">
                  <c:v>0.18075044009073093</c:v>
                </c:pt>
                <c:pt idx="48">
                  <c:v>0.17888991197116844</c:v>
                </c:pt>
                <c:pt idx="49">
                  <c:v>0.17708567267162034</c:v>
                </c:pt>
                <c:pt idx="50">
                  <c:v>0.17533494028326801</c:v>
                </c:pt>
                <c:pt idx="51">
                  <c:v>0.17363512163082162</c:v>
                </c:pt>
                <c:pt idx="52">
                  <c:v>0.17198379612440706</c:v>
                </c:pt>
                <c:pt idx="53">
                  <c:v>0.17037870126846366</c:v>
                </c:pt>
                <c:pt idx="54">
                  <c:v>0.16881771963040459</c:v>
                </c:pt>
                <c:pt idx="55">
                  <c:v>0.16729886709839326</c:v>
                </c:pt>
                <c:pt idx="56">
                  <c:v>0.1658202822802024</c:v>
                </c:pt>
                <c:pt idx="57">
                  <c:v>0.16438021691438798</c:v>
                </c:pt>
                <c:pt idx="58">
                  <c:v>0.16297702718149876</c:v>
                </c:pt>
                <c:pt idx="59">
                  <c:v>0.16160916581715856</c:v>
                </c:pt>
                <c:pt idx="60">
                  <c:v>0.16027517494101562</c:v>
                </c:pt>
                <c:pt idx="61">
                  <c:v>0.15897367952601993</c:v>
                </c:pt>
                <c:pt idx="62">
                  <c:v>0.15770338144153806</c:v>
                </c:pt>
                <c:pt idx="63">
                  <c:v>0.15646305401165783</c:v>
                </c:pt>
                <c:pt idx="64">
                  <c:v>0.15525153703684547</c:v>
                </c:pt>
                <c:pt idx="65">
                  <c:v>0.15406773223303638</c:v>
                </c:pt>
                <c:pt idx="66">
                  <c:v>0.1529105990474231</c:v>
                </c:pt>
                <c:pt idx="67">
                  <c:v>0.15177915081471327</c:v>
                </c:pt>
                <c:pt idx="68">
                  <c:v>0.15067245122159734</c:v>
                </c:pt>
                <c:pt idx="69">
                  <c:v>0.14958961105063939</c:v>
                </c:pt>
                <c:pt idx="70">
                  <c:v>0.14852978517786464</c:v>
                </c:pt>
                <c:pt idx="71">
                  <c:v>0.14749216980100721</c:v>
                </c:pt>
                <c:pt idx="72">
                  <c:v>0.14647599987777093</c:v>
                </c:pt>
                <c:pt idx="73">
                  <c:v>0.14548054675554689</c:v>
                </c:pt>
                <c:pt idx="74">
                  <c:v>0.14450511597591276</c:v>
                </c:pt>
                <c:pt idx="75">
                  <c:v>0.14354904523887568</c:v>
                </c:pt>
                <c:pt idx="76">
                  <c:v>0.14261170251331112</c:v>
                </c:pt>
                <c:pt idx="77">
                  <c:v>0.14169248428134296</c:v>
                </c:pt>
                <c:pt idx="78">
                  <c:v>0.14079081390559356</c:v>
                </c:pt>
                <c:pt idx="79">
                  <c:v>0.1399061401092645</c:v>
                </c:pt>
                <c:pt idx="80">
                  <c:v>0.13903793555994959</c:v>
                </c:pt>
              </c:numCache>
            </c:numRef>
          </c:xVal>
          <c:yVal>
            <c:numRef>
              <c:f>'model 2'!$A$51:$A$131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'model 2'!$G$50</c:f>
              <c:strCache>
                <c:ptCount val="1"/>
                <c:pt idx="0">
                  <c:v>0.3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2'!$G$51:$G$131</c:f>
              <c:numCache>
                <c:formatCode>0.00</c:formatCode>
                <c:ptCount val="81"/>
                <c:pt idx="0">
                  <c:v>1</c:v>
                </c:pt>
                <c:pt idx="1">
                  <c:v>0.94118417315271197</c:v>
                </c:pt>
                <c:pt idx="2">
                  <c:v>0.8184646976505221</c:v>
                </c:pt>
                <c:pt idx="3">
                  <c:v>0.72466184736164618</c:v>
                </c:pt>
                <c:pt idx="4">
                  <c:v>0.65518562227219479</c:v>
                </c:pt>
                <c:pt idx="5">
                  <c:v>0.60186461551145909</c:v>
                </c:pt>
                <c:pt idx="6">
                  <c:v>0.55949018628244351</c:v>
                </c:pt>
                <c:pt idx="7">
                  <c:v>0.52484275797827262</c:v>
                </c:pt>
                <c:pt idx="8">
                  <c:v>0.49586012558662218</c:v>
                </c:pt>
                <c:pt idx="9">
                  <c:v>0.47116544023892803</c:v>
                </c:pt>
                <c:pt idx="10">
                  <c:v>0.4498041669707975</c:v>
                </c:pt>
                <c:pt idx="11">
                  <c:v>0.4310926938108266</c:v>
                </c:pt>
                <c:pt idx="12">
                  <c:v>0.41452764443155887</c:v>
                </c:pt>
                <c:pt idx="13">
                  <c:v>0.39972942676279688</c:v>
                </c:pt>
                <c:pt idx="14">
                  <c:v>0.38640585309458264</c:v>
                </c:pt>
                <c:pt idx="15">
                  <c:v>0.37432796336659946</c:v>
                </c:pt>
                <c:pt idx="16">
                  <c:v>0.3633135162137644</c:v>
                </c:pt>
                <c:pt idx="17">
                  <c:v>0.35321544206269828</c:v>
                </c:pt>
                <c:pt idx="18">
                  <c:v>0.34391359292417256</c:v>
                </c:pt>
                <c:pt idx="19">
                  <c:v>0.33530873457233623</c:v>
                </c:pt>
                <c:pt idx="20">
                  <c:v>0.32731809649059818</c:v>
                </c:pt>
                <c:pt idx="21">
                  <c:v>0.3198720247302802</c:v>
                </c:pt>
                <c:pt idx="22">
                  <c:v>0.31291142916094761</c:v>
                </c:pt>
                <c:pt idx="23">
                  <c:v>0.30638581187867531</c:v>
                </c:pt>
                <c:pt idx="24">
                  <c:v>0.30025172685379031</c:v>
                </c:pt>
                <c:pt idx="25">
                  <c:v>0.29447156375460048</c:v>
                </c:pt>
                <c:pt idx="26">
                  <c:v>0.28901257838498329</c:v>
                </c:pt>
                <c:pt idx="27">
                  <c:v>0.28384611280066974</c:v>
                </c:pt>
                <c:pt idx="28">
                  <c:v>0.27894696279928022</c:v>
                </c:pt>
                <c:pt idx="29">
                  <c:v>0.27429286099444594</c:v>
                </c:pt>
                <c:pt idx="30">
                  <c:v>0.26986405133535607</c:v>
                </c:pt>
                <c:pt idx="31">
                  <c:v>0.26564293656391902</c:v>
                </c:pt>
                <c:pt idx="32">
                  <c:v>0.26161378429002591</c:v>
                </c:pt>
                <c:pt idx="33">
                  <c:v>0.2577624805118286</c:v>
                </c:pt>
                <c:pt idx="34">
                  <c:v>0.25407632179364148</c:v>
                </c:pt>
                <c:pt idx="35">
                  <c:v>0.25054383913883838</c:v>
                </c:pt>
                <c:pt idx="36">
                  <c:v>0.2471546480022464</c:v>
                </c:pt>
                <c:pt idx="37">
                  <c:v>0.24389931998001524</c:v>
                </c:pt>
                <c:pt idx="38">
                  <c:v>0.24076927257086633</c:v>
                </c:pt>
                <c:pt idx="39">
                  <c:v>0.23775667407719325</c:v>
                </c:pt>
                <c:pt idx="40">
                  <c:v>0.23485436124960501</c:v>
                </c:pt>
                <c:pt idx="41">
                  <c:v>0.23205576770557879</c:v>
                </c:pt>
                <c:pt idx="42">
                  <c:v>0.22935486149575723</c:v>
                </c:pt>
                <c:pt idx="43">
                  <c:v>0.22674609046819327</c:v>
                </c:pt>
                <c:pt idx="44">
                  <c:v>0.22422433430544486</c:v>
                </c:pt>
                <c:pt idx="45">
                  <c:v>0.22178486229259597</c:v>
                </c:pt>
                <c:pt idx="46">
                  <c:v>0.21942329602438537</c:v>
                </c:pt>
                <c:pt idx="47">
                  <c:v>0.21713557638319347</c:v>
                </c:pt>
                <c:pt idx="48">
                  <c:v>0.21491793422179994</c:v>
                </c:pt>
                <c:pt idx="49">
                  <c:v>0.21276686426964986</c:v>
                </c:pt>
                <c:pt idx="50">
                  <c:v>0.21067910185207128</c:v>
                </c:pt>
                <c:pt idx="51">
                  <c:v>0.20865160207103783</c:v>
                </c:pt>
                <c:pt idx="52">
                  <c:v>0.20668152114576865</c:v>
                </c:pt>
                <c:pt idx="53">
                  <c:v>0.20476619965331699</c:v>
                </c:pt>
                <c:pt idx="54">
                  <c:v>0.20290314744471227</c:v>
                </c:pt>
                <c:pt idx="55">
                  <c:v>0.20109003004225556</c:v>
                </c:pt>
                <c:pt idx="56">
                  <c:v>0.1993246563491331</c:v>
                </c:pt>
                <c:pt idx="57">
                  <c:v>0.19760496752433188</c:v>
                </c:pt>
                <c:pt idx="58">
                  <c:v>0.19592902689451419</c:v>
                </c:pt>
                <c:pt idx="59">
                  <c:v>0.194295010790553</c:v>
                </c:pt>
                <c:pt idx="60">
                  <c:v>0.19270120021021975</c:v>
                </c:pt>
                <c:pt idx="61">
                  <c:v>0.19114597322043525</c:v>
                </c:pt>
                <c:pt idx="62">
                  <c:v>0.18962779802279495</c:v>
                </c:pt>
                <c:pt idx="63">
                  <c:v>0.18814522661501698</c:v>
                </c:pt>
                <c:pt idx="64">
                  <c:v>0.18669688898873105</c:v>
                </c:pt>
                <c:pt idx="65">
                  <c:v>0.18528148781079312</c:v>
                </c:pt>
                <c:pt idx="66">
                  <c:v>0.18389779354122449</c:v>
                </c:pt>
                <c:pt idx="67">
                  <c:v>0.18254463994604109</c:v>
                </c:pt>
                <c:pt idx="68">
                  <c:v>0.18122091996777767</c:v>
                </c:pt>
                <c:pt idx="69">
                  <c:v>0.17992558192049413</c:v>
                </c:pt>
                <c:pt idx="70">
                  <c:v>0.17865762597956047</c:v>
                </c:pt>
                <c:pt idx="71">
                  <c:v>0.17741610093960691</c:v>
                </c:pt>
                <c:pt idx="72">
                  <c:v>0.17620010121676577</c:v>
                </c:pt>
                <c:pt idx="73">
                  <c:v>0.17500876407374211</c:v>
                </c:pt>
                <c:pt idx="74">
                  <c:v>0.17384126704840819</c:v>
                </c:pt>
                <c:pt idx="75">
                  <c:v>0.1726968255685073</c:v>
                </c:pt>
                <c:pt idx="76">
                  <c:v>0.17157469073676124</c:v>
                </c:pt>
                <c:pt idx="77">
                  <c:v>0.17047414727217891</c:v>
                </c:pt>
                <c:pt idx="78">
                  <c:v>0.16939451159471441</c:v>
                </c:pt>
                <c:pt idx="79">
                  <c:v>0.16833513004162315</c:v>
                </c:pt>
                <c:pt idx="80">
                  <c:v>0.16729537720495302</c:v>
                </c:pt>
              </c:numCache>
            </c:numRef>
          </c:xVal>
          <c:yVal>
            <c:numRef>
              <c:f>'model 2'!$A$51:$A$131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'model 2'!$I$50</c:f>
              <c:strCache>
                <c:ptCount val="1"/>
                <c:pt idx="0">
                  <c:v>0.5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2'!$I$51:$I$131</c:f>
              <c:numCache>
                <c:formatCode>0.00</c:formatCode>
                <c:ptCount val="81"/>
                <c:pt idx="0">
                  <c:v>1</c:v>
                </c:pt>
                <c:pt idx="1">
                  <c:v>0.98875992639469956</c:v>
                </c:pt>
                <c:pt idx="2">
                  <c:v>0.92694815456880097</c:v>
                </c:pt>
                <c:pt idx="3">
                  <c:v>0.85668173225498379</c:v>
                </c:pt>
                <c:pt idx="4">
                  <c:v>0.79500704171887326</c:v>
                </c:pt>
                <c:pt idx="5">
                  <c:v>0.74305372759188426</c:v>
                </c:pt>
                <c:pt idx="6">
                  <c:v>0.69926626836151984</c:v>
                </c:pt>
                <c:pt idx="7">
                  <c:v>0.66198386657564523</c:v>
                </c:pt>
                <c:pt idx="8">
                  <c:v>0.62986015605875645</c:v>
                </c:pt>
                <c:pt idx="9">
                  <c:v>0.60186391934303796</c:v>
                </c:pt>
                <c:pt idx="10">
                  <c:v>0.57721179686974011</c:v>
                </c:pt>
                <c:pt idx="11">
                  <c:v>0.55530462864570618</c:v>
                </c:pt>
                <c:pt idx="12">
                  <c:v>0.53567869479998231</c:v>
                </c:pt>
                <c:pt idx="13">
                  <c:v>0.5179703547991199</c:v>
                </c:pt>
                <c:pt idx="14">
                  <c:v>0.5018907122400893</c:v>
                </c:pt>
                <c:pt idx="15">
                  <c:v>0.48720740231301018</c:v>
                </c:pt>
                <c:pt idx="16">
                  <c:v>0.47373137469214655</c:v>
                </c:pt>
                <c:pt idx="17">
                  <c:v>0.46130718710996721</c:v>
                </c:pt>
                <c:pt idx="18">
                  <c:v>0.44980578693516415</c:v>
                </c:pt>
                <c:pt idx="19">
                  <c:v>0.43911907560173535</c:v>
                </c:pt>
                <c:pt idx="20">
                  <c:v>0.42915576606306094</c:v>
                </c:pt>
                <c:pt idx="21">
                  <c:v>0.4198381895080272</c:v>
                </c:pt>
                <c:pt idx="22">
                  <c:v>0.41109980730667339</c:v>
                </c:pt>
                <c:pt idx="23">
                  <c:v>0.40288325289903959</c:v>
                </c:pt>
                <c:pt idx="24">
                  <c:v>0.39513877624596017</c:v>
                </c:pt>
                <c:pt idx="25">
                  <c:v>0.38782299722278091</c:v>
                </c:pt>
                <c:pt idx="26">
                  <c:v>0.38089789840274157</c:v>
                </c:pt>
                <c:pt idx="27">
                  <c:v>0.37433000502196179</c:v>
                </c:pt>
                <c:pt idx="28">
                  <c:v>0.36808971255380651</c:v>
                </c:pt>
                <c:pt idx="29">
                  <c:v>0.36215073162028055</c:v>
                </c:pt>
                <c:pt idx="30">
                  <c:v>0.35648962687991359</c:v>
                </c:pt>
                <c:pt idx="31">
                  <c:v>0.3510854317164811</c:v>
                </c:pt>
                <c:pt idx="32">
                  <c:v>0.34591932447676998</c:v>
                </c:pt>
                <c:pt idx="33">
                  <c:v>0.3409743550000619</c:v>
                </c:pt>
                <c:pt idx="34">
                  <c:v>0.33623521248538757</c:v>
                </c:pt>
                <c:pt idx="35">
                  <c:v>0.3316880275277807</c:v>
                </c:pt>
                <c:pt idx="36">
                  <c:v>0.32732020254820715</c:v>
                </c:pt>
                <c:pt idx="37">
                  <c:v>0.32312026593691767</c:v>
                </c:pt>
                <c:pt idx="38">
                  <c:v>0.31907774609612471</c:v>
                </c:pt>
                <c:pt idx="39">
                  <c:v>0.3151830622571723</c:v>
                </c:pt>
                <c:pt idx="40">
                  <c:v>0.31142742949911972</c:v>
                </c:pt>
                <c:pt idx="41">
                  <c:v>0.30780277583972815</c:v>
                </c:pt>
                <c:pt idx="42">
                  <c:v>0.30430166962919936</c:v>
                </c:pt>
                <c:pt idx="43">
                  <c:v>0.30091725576924722</c:v>
                </c:pt>
                <c:pt idx="44">
                  <c:v>0.2976431995188924</c:v>
                </c:pt>
                <c:pt idx="45">
                  <c:v>0.29447363684442873</c:v>
                </c:pt>
                <c:pt idx="46">
                  <c:v>0.29140313043267585</c:v>
                </c:pt>
                <c:pt idx="47">
                  <c:v>0.28842663062048923</c:v>
                </c:pt>
                <c:pt idx="48">
                  <c:v>0.28553944060480729</c:v>
                </c:pt>
                <c:pt idx="49">
                  <c:v>0.2827371853904046</c:v>
                </c:pt>
                <c:pt idx="50">
                  <c:v>0.28001578401034433</c:v>
                </c:pt>
                <c:pt idx="51">
                  <c:v>0.27737142461955289</c:v>
                </c:pt>
                <c:pt idx="52">
                  <c:v>0.27480054211713423</c:v>
                </c:pt>
                <c:pt idx="53">
                  <c:v>0.27229979799977388</c:v>
                </c:pt>
                <c:pt idx="54">
                  <c:v>0.26986606218823694</c:v>
                </c:pt>
                <c:pt idx="55">
                  <c:v>0.26749639660277369</c:v>
                </c:pt>
                <c:pt idx="56">
                  <c:v>0.26518804029209697</c:v>
                </c:pt>
                <c:pt idx="57">
                  <c:v>0.26293839594532975</c:v>
                </c:pt>
                <c:pt idx="58">
                  <c:v>0.26074501763755875</c:v>
                </c:pt>
                <c:pt idx="59">
                  <c:v>0.25860559967793018</c:v>
                </c:pt>
                <c:pt idx="60">
                  <c:v>0.25651796644501834</c:v>
                </c:pt>
                <c:pt idx="61">
                  <c:v>0.25448006310787163</c:v>
                </c:pt>
                <c:pt idx="62">
                  <c:v>0.25248994714301332</c:v>
                </c:pt>
                <c:pt idx="63">
                  <c:v>0.2505457805679927</c:v>
                </c:pt>
                <c:pt idx="64">
                  <c:v>0.24864582282107262</c:v>
                </c:pt>
                <c:pt idx="65">
                  <c:v>0.2467884242245113</c:v>
                </c:pt>
                <c:pt idx="66">
                  <c:v>0.24497201997576501</c:v>
                </c:pt>
                <c:pt idx="67">
                  <c:v>0.24319512461697834</c:v>
                </c:pt>
                <c:pt idx="68">
                  <c:v>0.24145632693843577</c:v>
                </c:pt>
                <c:pt idx="69">
                  <c:v>0.23975428527631437</c:v>
                </c:pt>
                <c:pt idx="70">
                  <c:v>0.23808772316920357</c:v>
                </c:pt>
                <c:pt idx="71">
                  <c:v>0.23645542534149988</c:v>
                </c:pt>
                <c:pt idx="72">
                  <c:v>0.2348562339850071</c:v>
                </c:pt>
                <c:pt idx="73">
                  <c:v>0.23328904531293904</c:v>
                </c:pt>
                <c:pt idx="74">
                  <c:v>0.23175280636305828</c:v>
                </c:pt>
                <c:pt idx="75">
                  <c:v>0.23024651202895141</c:v>
                </c:pt>
                <c:pt idx="76">
                  <c:v>0.22876920230044928</c:v>
                </c:pt>
                <c:pt idx="77">
                  <c:v>0.22731995969601315</c:v>
                </c:pt>
                <c:pt idx="78">
                  <c:v>0.22589790687149902</c:v>
                </c:pt>
                <c:pt idx="79">
                  <c:v>0.22450220439117041</c:v>
                </c:pt>
                <c:pt idx="80">
                  <c:v>0.2231320486481092</c:v>
                </c:pt>
              </c:numCache>
            </c:numRef>
          </c:xVal>
          <c:yVal>
            <c:numRef>
              <c:f>'model 2'!$A$51:$A$131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axId val="109836544"/>
        <c:axId val="109846912"/>
      </c:scatterChart>
      <c:valAx>
        <c:axId val="109836544"/>
        <c:scaling>
          <c:orientation val="minMax"/>
          <c:min val="0"/>
        </c:scaling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(mg/L)</a:t>
                </a:r>
              </a:p>
            </c:rich>
          </c:tx>
          <c:layout>
            <c:manualLayout>
              <c:xMode val="edge"/>
              <c:yMode val="edge"/>
              <c:x val="0.32678132678132676"/>
              <c:y val="3.7558685446009404E-2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9846912"/>
        <c:crosses val="autoZero"/>
        <c:crossBetween val="midCat"/>
      </c:valAx>
      <c:valAx>
        <c:axId val="109846912"/>
        <c:scaling>
          <c:orientation val="maxMin"/>
          <c:min val="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depth(m)</a:t>
                </a:r>
              </a:p>
            </c:rich>
          </c:tx>
          <c:layout>
            <c:manualLayout>
              <c:xMode val="edge"/>
              <c:yMode val="edge"/>
              <c:x val="1.8906291750344164E-2"/>
              <c:y val="0.47887427565243912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9836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741932563718987"/>
          <c:y val="0.34507125908153624"/>
          <c:w val="0.17630330510351061"/>
          <c:h val="0.3145547299545315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>
        <c:manualLayout>
          <c:layoutTarget val="inner"/>
          <c:xMode val="edge"/>
          <c:yMode val="edge"/>
          <c:x val="0.15308678888596919"/>
          <c:y val="8.8993076003865093E-2"/>
          <c:w val="0.61234697514662517"/>
          <c:h val="0.78454422266565271"/>
        </c:manualLayout>
      </c:layout>
      <c:scatterChart>
        <c:scatterStyle val="smoothMarker"/>
        <c:ser>
          <c:idx val="0"/>
          <c:order val="0"/>
          <c:tx>
            <c:v>fracture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'model 2'!$B$51:$B$131</c:f>
              <c:numCache>
                <c:formatCode>General</c:formatCode>
                <c:ptCount val="81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  <c:pt idx="25">
                  <c:v>200</c:v>
                </c:pt>
                <c:pt idx="26">
                  <c:v>208</c:v>
                </c:pt>
                <c:pt idx="27">
                  <c:v>216</c:v>
                </c:pt>
                <c:pt idx="28">
                  <c:v>224</c:v>
                </c:pt>
                <c:pt idx="29">
                  <c:v>232</c:v>
                </c:pt>
                <c:pt idx="30">
                  <c:v>240</c:v>
                </c:pt>
                <c:pt idx="31">
                  <c:v>248</c:v>
                </c:pt>
                <c:pt idx="32">
                  <c:v>256</c:v>
                </c:pt>
                <c:pt idx="33">
                  <c:v>264</c:v>
                </c:pt>
                <c:pt idx="34">
                  <c:v>272</c:v>
                </c:pt>
                <c:pt idx="35">
                  <c:v>280</c:v>
                </c:pt>
                <c:pt idx="36">
                  <c:v>288</c:v>
                </c:pt>
                <c:pt idx="37">
                  <c:v>296</c:v>
                </c:pt>
                <c:pt idx="38">
                  <c:v>304</c:v>
                </c:pt>
                <c:pt idx="39">
                  <c:v>312</c:v>
                </c:pt>
                <c:pt idx="40">
                  <c:v>320</c:v>
                </c:pt>
                <c:pt idx="41">
                  <c:v>328</c:v>
                </c:pt>
                <c:pt idx="42">
                  <c:v>336</c:v>
                </c:pt>
                <c:pt idx="43">
                  <c:v>344</c:v>
                </c:pt>
                <c:pt idx="44">
                  <c:v>352</c:v>
                </c:pt>
                <c:pt idx="45">
                  <c:v>360</c:v>
                </c:pt>
                <c:pt idx="46">
                  <c:v>368</c:v>
                </c:pt>
                <c:pt idx="47">
                  <c:v>376</c:v>
                </c:pt>
                <c:pt idx="48">
                  <c:v>384</c:v>
                </c:pt>
                <c:pt idx="49">
                  <c:v>392</c:v>
                </c:pt>
                <c:pt idx="50">
                  <c:v>400</c:v>
                </c:pt>
                <c:pt idx="51">
                  <c:v>408</c:v>
                </c:pt>
                <c:pt idx="52">
                  <c:v>416</c:v>
                </c:pt>
                <c:pt idx="53">
                  <c:v>424</c:v>
                </c:pt>
                <c:pt idx="54">
                  <c:v>432</c:v>
                </c:pt>
                <c:pt idx="55">
                  <c:v>440</c:v>
                </c:pt>
                <c:pt idx="56">
                  <c:v>448</c:v>
                </c:pt>
                <c:pt idx="57">
                  <c:v>456</c:v>
                </c:pt>
                <c:pt idx="58">
                  <c:v>464</c:v>
                </c:pt>
                <c:pt idx="59">
                  <c:v>472</c:v>
                </c:pt>
                <c:pt idx="60">
                  <c:v>480</c:v>
                </c:pt>
                <c:pt idx="61">
                  <c:v>488</c:v>
                </c:pt>
                <c:pt idx="62">
                  <c:v>496</c:v>
                </c:pt>
                <c:pt idx="63">
                  <c:v>504</c:v>
                </c:pt>
                <c:pt idx="64">
                  <c:v>512</c:v>
                </c:pt>
                <c:pt idx="65">
                  <c:v>520</c:v>
                </c:pt>
                <c:pt idx="66">
                  <c:v>528</c:v>
                </c:pt>
                <c:pt idx="67">
                  <c:v>536</c:v>
                </c:pt>
                <c:pt idx="68">
                  <c:v>544</c:v>
                </c:pt>
                <c:pt idx="69">
                  <c:v>552</c:v>
                </c:pt>
                <c:pt idx="70">
                  <c:v>560</c:v>
                </c:pt>
                <c:pt idx="71">
                  <c:v>568</c:v>
                </c:pt>
                <c:pt idx="72">
                  <c:v>576</c:v>
                </c:pt>
                <c:pt idx="73">
                  <c:v>584</c:v>
                </c:pt>
                <c:pt idx="74">
                  <c:v>592</c:v>
                </c:pt>
                <c:pt idx="75">
                  <c:v>600</c:v>
                </c:pt>
                <c:pt idx="76">
                  <c:v>608</c:v>
                </c:pt>
                <c:pt idx="77">
                  <c:v>616</c:v>
                </c:pt>
                <c:pt idx="78">
                  <c:v>624</c:v>
                </c:pt>
                <c:pt idx="79">
                  <c:v>632</c:v>
                </c:pt>
                <c:pt idx="80">
                  <c:v>640</c:v>
                </c:pt>
              </c:numCache>
            </c:numRef>
          </c:xVal>
          <c:yVal>
            <c:numRef>
              <c:f>'model 2'!$D$51:$D$131</c:f>
              <c:numCache>
                <c:formatCode>0.00</c:formatCode>
                <c:ptCount val="81"/>
                <c:pt idx="0">
                  <c:v>1</c:v>
                </c:pt>
                <c:pt idx="1">
                  <c:v>0.64305450666299713</c:v>
                </c:pt>
                <c:pt idx="2">
                  <c:v>0.48517741515973256</c:v>
                </c:pt>
                <c:pt idx="3">
                  <c:v>0.40514341910362672</c:v>
                </c:pt>
                <c:pt idx="4">
                  <c:v>0.35488385994661154</c:v>
                </c:pt>
                <c:pt idx="5">
                  <c:v>0.31961113505348426</c:v>
                </c:pt>
                <c:pt idx="6">
                  <c:v>0.293112606312395</c:v>
                </c:pt>
                <c:pt idx="7">
                  <c:v>0.27226800746082747</c:v>
                </c:pt>
                <c:pt idx="8">
                  <c:v>0.2553170486156926</c:v>
                </c:pt>
                <c:pt idx="9">
                  <c:v>0.24118173913159291</c:v>
                </c:pt>
                <c:pt idx="10">
                  <c:v>0.22916026916047194</c:v>
                </c:pt>
                <c:pt idx="11">
                  <c:v>0.2187735309904546</c:v>
                </c:pt>
                <c:pt idx="12">
                  <c:v>0.2096818108898344</c:v>
                </c:pt>
                <c:pt idx="13">
                  <c:v>0.20163664683365412</c:v>
                </c:pt>
                <c:pt idx="14">
                  <c:v>0.19445155954529891</c:v>
                </c:pt>
                <c:pt idx="15">
                  <c:v>0.18798349444108364</c:v>
                </c:pt>
                <c:pt idx="16">
                  <c:v>0.18212063115401023</c:v>
                </c:pt>
                <c:pt idx="17">
                  <c:v>0.17677413017861299</c:v>
                </c:pt>
                <c:pt idx="18">
                  <c:v>0.17187239722131986</c:v>
                </c:pt>
                <c:pt idx="19">
                  <c:v>0.16735700527206343</c:v>
                </c:pt>
                <c:pt idx="20">
                  <c:v>0.16317973643371531</c:v>
                </c:pt>
                <c:pt idx="21">
                  <c:v>0.15930039740667734</c:v>
                </c:pt>
                <c:pt idx="22">
                  <c:v>0.15568518035743084</c:v>
                </c:pt>
                <c:pt idx="23">
                  <c:v>0.15230541524047836</c:v>
                </c:pt>
                <c:pt idx="24">
                  <c:v>0.14913660768704262</c:v>
                </c:pt>
                <c:pt idx="25">
                  <c:v>0.14615768830214293</c:v>
                </c:pt>
                <c:pt idx="26">
                  <c:v>0.1433504205790086</c:v>
                </c:pt>
                <c:pt idx="27">
                  <c:v>0.14069892928775607</c:v>
                </c:pt>
                <c:pt idx="28">
                  <c:v>0.1381893214012373</c:v>
                </c:pt>
                <c:pt idx="29">
                  <c:v>0.13580937883859923</c:v>
                </c:pt>
                <c:pt idx="30">
                  <c:v>0.13354830748177271</c:v>
                </c:pt>
                <c:pt idx="31">
                  <c:v>0.13139653067729062</c:v>
                </c:pt>
                <c:pt idx="32">
                  <c:v>0.12934551819594264</c:v>
                </c:pt>
                <c:pt idx="33">
                  <c:v>0.12738764367260136</c:v>
                </c:pt>
                <c:pt idx="34">
                  <c:v>0.1255160650863707</c:v>
                </c:pt>
                <c:pt idx="35">
                  <c:v>0.1237246240058818</c:v>
                </c:pt>
                <c:pt idx="36">
                  <c:v>0.12200776021446424</c:v>
                </c:pt>
                <c:pt idx="37">
                  <c:v>0.12036043901556703</c:v>
                </c:pt>
                <c:pt idx="38">
                  <c:v>0.11877808905119225</c:v>
                </c:pt>
                <c:pt idx="39">
                  <c:v>0.11725654888255366</c:v>
                </c:pt>
                <c:pt idx="40">
                  <c:v>0.11579202091019702</c:v>
                </c:pt>
                <c:pt idx="41">
                  <c:v>0.11438103147088552</c:v>
                </c:pt>
                <c:pt idx="42">
                  <c:v>0.11302039615602077</c:v>
                </c:pt>
                <c:pt idx="43">
                  <c:v>0.11170718956287207</c:v>
                </c:pt>
                <c:pt idx="44">
                  <c:v>0.11043871882422174</c:v>
                </c:pt>
                <c:pt idx="45">
                  <c:v>0.10921250037103403</c:v>
                </c:pt>
                <c:pt idx="46">
                  <c:v>0.10802623947161605</c:v>
                </c:pt>
                <c:pt idx="47">
                  <c:v>0.10687781216354031</c:v>
                </c:pt>
                <c:pt idx="48">
                  <c:v>0.10576524925451758</c:v>
                </c:pt>
                <c:pt idx="49">
                  <c:v>0.10468672211794594</c:v>
                </c:pt>
                <c:pt idx="50">
                  <c:v>0.10364053004996787</c:v>
                </c:pt>
                <c:pt idx="51">
                  <c:v>0.10262508898914602</c:v>
                </c:pt>
                <c:pt idx="52">
                  <c:v>0.10163892142853048</c:v>
                </c:pt>
                <c:pt idx="53">
                  <c:v>0.10068064737396565</c:v>
                </c:pt>
                <c:pt idx="54">
                  <c:v>9.974897622277612E-2</c:v>
                </c:pt>
                <c:pt idx="55">
                  <c:v>9.8842699454119609E-2</c:v>
                </c:pt>
                <c:pt idx="56">
                  <c:v>9.7960684036848322E-2</c:v>
                </c:pt>
                <c:pt idx="57">
                  <c:v>9.7101866473102483E-2</c:v>
                </c:pt>
                <c:pt idx="58">
                  <c:v>9.626524740642961E-2</c:v>
                </c:pt>
                <c:pt idx="59">
                  <c:v>9.5449886732268618E-2</c:v>
                </c:pt>
                <c:pt idx="60">
                  <c:v>9.4654899156402239E-2</c:v>
                </c:pt>
                <c:pt idx="61">
                  <c:v>9.3879450153672384E-2</c:v>
                </c:pt>
                <c:pt idx="62">
                  <c:v>9.3122752285012877E-2</c:v>
                </c:pt>
                <c:pt idx="63">
                  <c:v>9.2384061835849129E-2</c:v>
                </c:pt>
                <c:pt idx="64">
                  <c:v>9.1662675743244382E-2</c:v>
                </c:pt>
                <c:pt idx="65">
                  <c:v>9.0957928782930075E-2</c:v>
                </c:pt>
                <c:pt idx="66">
                  <c:v>9.0269190990636572E-2</c:v>
                </c:pt>
                <c:pt idx="67">
                  <c:v>8.9595865295007959E-2</c:v>
                </c:pt>
                <c:pt idx="68">
                  <c:v>8.8937385341881114E-2</c:v>
                </c:pt>
                <c:pt idx="69">
                  <c:v>8.8293213491914102E-2</c:v>
                </c:pt>
                <c:pt idx="70">
                  <c:v>8.7662838975471225E-2</c:v>
                </c:pt>
                <c:pt idx="71">
                  <c:v>8.7045776190376234E-2</c:v>
                </c:pt>
                <c:pt idx="72">
                  <c:v>8.6441563129641796E-2</c:v>
                </c:pt>
                <c:pt idx="73">
                  <c:v>8.5849759927605129E-2</c:v>
                </c:pt>
                <c:pt idx="74">
                  <c:v>8.5269947514074795E-2</c:v>
                </c:pt>
                <c:pt idx="75">
                  <c:v>8.4701726367133467E-2</c:v>
                </c:pt>
                <c:pt idx="76">
                  <c:v>8.4144715356157862E-2</c:v>
                </c:pt>
                <c:pt idx="77">
                  <c:v>8.3598550667448812E-2</c:v>
                </c:pt>
                <c:pt idx="78">
                  <c:v>8.3062884805585657E-2</c:v>
                </c:pt>
                <c:pt idx="79">
                  <c:v>8.2537385664278817E-2</c:v>
                </c:pt>
                <c:pt idx="80">
                  <c:v>8.2021735661076844E-2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'model 2'!$E$50</c:f>
              <c:strCache>
                <c:ptCount val="1"/>
                <c:pt idx="0">
                  <c:v>0.1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2'!$B$51:$B$131</c:f>
              <c:numCache>
                <c:formatCode>General</c:formatCode>
                <c:ptCount val="81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  <c:pt idx="25">
                  <c:v>200</c:v>
                </c:pt>
                <c:pt idx="26">
                  <c:v>208</c:v>
                </c:pt>
                <c:pt idx="27">
                  <c:v>216</c:v>
                </c:pt>
                <c:pt idx="28">
                  <c:v>224</c:v>
                </c:pt>
                <c:pt idx="29">
                  <c:v>232</c:v>
                </c:pt>
                <c:pt idx="30">
                  <c:v>240</c:v>
                </c:pt>
                <c:pt idx="31">
                  <c:v>248</c:v>
                </c:pt>
                <c:pt idx="32">
                  <c:v>256</c:v>
                </c:pt>
                <c:pt idx="33">
                  <c:v>264</c:v>
                </c:pt>
                <c:pt idx="34">
                  <c:v>272</c:v>
                </c:pt>
                <c:pt idx="35">
                  <c:v>280</c:v>
                </c:pt>
                <c:pt idx="36">
                  <c:v>288</c:v>
                </c:pt>
                <c:pt idx="37">
                  <c:v>296</c:v>
                </c:pt>
                <c:pt idx="38">
                  <c:v>304</c:v>
                </c:pt>
                <c:pt idx="39">
                  <c:v>312</c:v>
                </c:pt>
                <c:pt idx="40">
                  <c:v>320</c:v>
                </c:pt>
                <c:pt idx="41">
                  <c:v>328</c:v>
                </c:pt>
                <c:pt idx="42">
                  <c:v>336</c:v>
                </c:pt>
                <c:pt idx="43">
                  <c:v>344</c:v>
                </c:pt>
                <c:pt idx="44">
                  <c:v>352</c:v>
                </c:pt>
                <c:pt idx="45">
                  <c:v>360</c:v>
                </c:pt>
                <c:pt idx="46">
                  <c:v>368</c:v>
                </c:pt>
                <c:pt idx="47">
                  <c:v>376</c:v>
                </c:pt>
                <c:pt idx="48">
                  <c:v>384</c:v>
                </c:pt>
                <c:pt idx="49">
                  <c:v>392</c:v>
                </c:pt>
                <c:pt idx="50">
                  <c:v>400</c:v>
                </c:pt>
                <c:pt idx="51">
                  <c:v>408</c:v>
                </c:pt>
                <c:pt idx="52">
                  <c:v>416</c:v>
                </c:pt>
                <c:pt idx="53">
                  <c:v>424</c:v>
                </c:pt>
                <c:pt idx="54">
                  <c:v>432</c:v>
                </c:pt>
                <c:pt idx="55">
                  <c:v>440</c:v>
                </c:pt>
                <c:pt idx="56">
                  <c:v>448</c:v>
                </c:pt>
                <c:pt idx="57">
                  <c:v>456</c:v>
                </c:pt>
                <c:pt idx="58">
                  <c:v>464</c:v>
                </c:pt>
                <c:pt idx="59">
                  <c:v>472</c:v>
                </c:pt>
                <c:pt idx="60">
                  <c:v>480</c:v>
                </c:pt>
                <c:pt idx="61">
                  <c:v>488</c:v>
                </c:pt>
                <c:pt idx="62">
                  <c:v>496</c:v>
                </c:pt>
                <c:pt idx="63">
                  <c:v>504</c:v>
                </c:pt>
                <c:pt idx="64">
                  <c:v>512</c:v>
                </c:pt>
                <c:pt idx="65">
                  <c:v>520</c:v>
                </c:pt>
                <c:pt idx="66">
                  <c:v>528</c:v>
                </c:pt>
                <c:pt idx="67">
                  <c:v>536</c:v>
                </c:pt>
                <c:pt idx="68">
                  <c:v>544</c:v>
                </c:pt>
                <c:pt idx="69">
                  <c:v>552</c:v>
                </c:pt>
                <c:pt idx="70">
                  <c:v>560</c:v>
                </c:pt>
                <c:pt idx="71">
                  <c:v>568</c:v>
                </c:pt>
                <c:pt idx="72">
                  <c:v>576</c:v>
                </c:pt>
                <c:pt idx="73">
                  <c:v>584</c:v>
                </c:pt>
                <c:pt idx="74">
                  <c:v>592</c:v>
                </c:pt>
                <c:pt idx="75">
                  <c:v>600</c:v>
                </c:pt>
                <c:pt idx="76">
                  <c:v>608</c:v>
                </c:pt>
                <c:pt idx="77">
                  <c:v>616</c:v>
                </c:pt>
                <c:pt idx="78">
                  <c:v>624</c:v>
                </c:pt>
                <c:pt idx="79">
                  <c:v>632</c:v>
                </c:pt>
                <c:pt idx="80">
                  <c:v>640</c:v>
                </c:pt>
              </c:numCache>
            </c:numRef>
          </c:xVal>
          <c:yVal>
            <c:numRef>
              <c:f>'model 2'!$E$51:$E$131</c:f>
              <c:numCache>
                <c:formatCode>0.00</c:formatCode>
                <c:ptCount val="81"/>
                <c:pt idx="0">
                  <c:v>1</c:v>
                </c:pt>
                <c:pt idx="1">
                  <c:v>0.78649669701902836</c:v>
                </c:pt>
                <c:pt idx="2">
                  <c:v>0.62091249561885276</c:v>
                </c:pt>
                <c:pt idx="3">
                  <c:v>0.52734025387719341</c:v>
                </c:pt>
                <c:pt idx="4">
                  <c:v>0.46601656729229424</c:v>
                </c:pt>
                <c:pt idx="5">
                  <c:v>0.42197624364197894</c:v>
                </c:pt>
                <c:pt idx="6">
                  <c:v>0.3884091884491998</c:v>
                </c:pt>
                <c:pt idx="7">
                  <c:v>0.3617405341254738</c:v>
                </c:pt>
                <c:pt idx="8">
                  <c:v>0.33989548522266766</c:v>
                </c:pt>
                <c:pt idx="9">
                  <c:v>0.32157795594367311</c:v>
                </c:pt>
                <c:pt idx="10">
                  <c:v>0.30593163020773484</c:v>
                </c:pt>
                <c:pt idx="11">
                  <c:v>0.29236523672225823</c:v>
                </c:pt>
                <c:pt idx="12">
                  <c:v>0.28045571764980903</c:v>
                </c:pt>
                <c:pt idx="13">
                  <c:v>0.26989136008032166</c:v>
                </c:pt>
                <c:pt idx="14">
                  <c:v>0.26043677114280617</c:v>
                </c:pt>
                <c:pt idx="15">
                  <c:v>0.2519104331840043</c:v>
                </c:pt>
                <c:pt idx="16">
                  <c:v>0.24416982861062686</c:v>
                </c:pt>
                <c:pt idx="17">
                  <c:v>0.23710129269730928</c:v>
                </c:pt>
                <c:pt idx="18">
                  <c:v>0.23061291595084432</c:v>
                </c:pt>
                <c:pt idx="19">
                  <c:v>0.22462946931323446</c:v>
                </c:pt>
                <c:pt idx="20">
                  <c:v>0.21908870459629792</c:v>
                </c:pt>
                <c:pt idx="21">
                  <c:v>0.21393861048432528</c:v>
                </c:pt>
                <c:pt idx="22">
                  <c:v>0.20913534555176305</c:v>
                </c:pt>
                <c:pt idx="23">
                  <c:v>0.2046416593967002</c:v>
                </c:pt>
                <c:pt idx="24">
                  <c:v>0.20042567129301836</c:v>
                </c:pt>
                <c:pt idx="25">
                  <c:v>0.19645991448167055</c:v>
                </c:pt>
                <c:pt idx="26">
                  <c:v>0.19272058042674445</c:v>
                </c:pt>
                <c:pt idx="27">
                  <c:v>0.18918691540795374</c:v>
                </c:pt>
                <c:pt idx="28">
                  <c:v>0.18584073444664062</c:v>
                </c:pt>
                <c:pt idx="29">
                  <c:v>0.18266602652467778</c:v>
                </c:pt>
                <c:pt idx="30">
                  <c:v>0.17964863150335741</c:v>
                </c:pt>
                <c:pt idx="31">
                  <c:v>0.17677597384572463</c:v>
                </c:pt>
                <c:pt idx="32">
                  <c:v>0.17403684170599631</c:v>
                </c:pt>
                <c:pt idx="33">
                  <c:v>0.17142120252642212</c:v>
                </c:pt>
                <c:pt idx="34">
                  <c:v>0.168920048219944</c:v>
                </c:pt>
                <c:pt idx="35">
                  <c:v>0.16652526448819382</c:v>
                </c:pt>
                <c:pt idx="36">
                  <c:v>0.16422951995096469</c:v>
                </c:pt>
                <c:pt idx="37">
                  <c:v>0.16202617163305533</c:v>
                </c:pt>
                <c:pt idx="38">
                  <c:v>0.15990918403107002</c:v>
                </c:pt>
                <c:pt idx="39">
                  <c:v>0.15787305951301889</c:v>
                </c:pt>
                <c:pt idx="40">
                  <c:v>0.15591277822194916</c:v>
                </c:pt>
                <c:pt idx="41">
                  <c:v>0.15402374598708479</c:v>
                </c:pt>
                <c:pt idx="42">
                  <c:v>0.15220174901140404</c:v>
                </c:pt>
                <c:pt idx="43">
                  <c:v>0.15044291431791357</c:v>
                </c:pt>
                <c:pt idx="44">
                  <c:v>0.14874367510925524</c:v>
                </c:pt>
                <c:pt idx="45">
                  <c:v>0.14710074033530418</c:v>
                </c:pt>
                <c:pt idx="46">
                  <c:v>0.14551106787772006</c:v>
                </c:pt>
                <c:pt idx="47">
                  <c:v>0.14397184085417569</c:v>
                </c:pt>
                <c:pt idx="48">
                  <c:v>0.14248044662222847</c:v>
                </c:pt>
                <c:pt idx="49">
                  <c:v>0.14103445812673709</c:v>
                </c:pt>
                <c:pt idx="50">
                  <c:v>0.13963161728783513</c:v>
                </c:pt>
                <c:pt idx="51">
                  <c:v>0.13826982017079748</c:v>
                </c:pt>
                <c:pt idx="52">
                  <c:v>0.13694710371623664</c:v>
                </c:pt>
                <c:pt idx="53">
                  <c:v>0.13566163384026075</c:v>
                </c:pt>
                <c:pt idx="54">
                  <c:v>0.13441169474052983</c:v>
                </c:pt>
                <c:pt idx="55">
                  <c:v>0.13319567926640108</c:v>
                </c:pt>
                <c:pt idx="56">
                  <c:v>0.13201208023026267</c:v>
                </c:pt>
                <c:pt idx="57">
                  <c:v>0.13085948255324009</c:v>
                </c:pt>
                <c:pt idx="58">
                  <c:v>0.12973655615220903</c:v>
                </c:pt>
                <c:pt idx="59">
                  <c:v>0.12864204948682589</c:v>
                </c:pt>
                <c:pt idx="60">
                  <c:v>0.12757478369539732</c:v>
                </c:pt>
                <c:pt idx="61">
                  <c:v>0.12653364725712768</c:v>
                </c:pt>
                <c:pt idx="62">
                  <c:v>0.12551759112579886</c:v>
                </c:pt>
                <c:pt idx="63">
                  <c:v>0.12452562428645764</c:v>
                </c:pt>
                <c:pt idx="64">
                  <c:v>0.12355680969232963</c:v>
                </c:pt>
                <c:pt idx="65">
                  <c:v>0.12261026054409507</c:v>
                </c:pt>
                <c:pt idx="66">
                  <c:v>0.12168513687795213</c:v>
                </c:pt>
                <c:pt idx="67">
                  <c:v>0.12078064243263054</c:v>
                </c:pt>
                <c:pt idx="68">
                  <c:v>0.11989602176879655</c:v>
                </c:pt>
                <c:pt idx="69">
                  <c:v>0.1190305576171693</c:v>
                </c:pt>
                <c:pt idx="70">
                  <c:v>0.11818356843419431</c:v>
                </c:pt>
                <c:pt idx="71">
                  <c:v>0.1173544061463403</c:v>
                </c:pt>
                <c:pt idx="72">
                  <c:v>0.11654245406606178</c:v>
                </c:pt>
                <c:pt idx="73">
                  <c:v>0.11574712496419437</c:v>
                </c:pt>
                <c:pt idx="74">
                  <c:v>0.11496785928509423</c:v>
                </c:pt>
                <c:pt idx="75">
                  <c:v>0.11420412349219444</c:v>
                </c:pt>
                <c:pt idx="76">
                  <c:v>0.11345540853286629</c:v>
                </c:pt>
                <c:pt idx="77">
                  <c:v>0.1127212284125465</c:v>
                </c:pt>
                <c:pt idx="78">
                  <c:v>0.11200111886905928</c:v>
                </c:pt>
                <c:pt idx="79">
                  <c:v>0.11129463613891599</c:v>
                </c:pt>
                <c:pt idx="80">
                  <c:v>0.11060135580814556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'model 2'!$F$50</c:f>
              <c:strCache>
                <c:ptCount val="1"/>
                <c:pt idx="0">
                  <c:v>0.2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'model 2'!$B$51:$B$131</c:f>
              <c:numCache>
                <c:formatCode>General</c:formatCode>
                <c:ptCount val="81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  <c:pt idx="25">
                  <c:v>200</c:v>
                </c:pt>
                <c:pt idx="26">
                  <c:v>208</c:v>
                </c:pt>
                <c:pt idx="27">
                  <c:v>216</c:v>
                </c:pt>
                <c:pt idx="28">
                  <c:v>224</c:v>
                </c:pt>
                <c:pt idx="29">
                  <c:v>232</c:v>
                </c:pt>
                <c:pt idx="30">
                  <c:v>240</c:v>
                </c:pt>
                <c:pt idx="31">
                  <c:v>248</c:v>
                </c:pt>
                <c:pt idx="32">
                  <c:v>256</c:v>
                </c:pt>
                <c:pt idx="33">
                  <c:v>264</c:v>
                </c:pt>
                <c:pt idx="34">
                  <c:v>272</c:v>
                </c:pt>
                <c:pt idx="35">
                  <c:v>280</c:v>
                </c:pt>
                <c:pt idx="36">
                  <c:v>288</c:v>
                </c:pt>
                <c:pt idx="37">
                  <c:v>296</c:v>
                </c:pt>
                <c:pt idx="38">
                  <c:v>304</c:v>
                </c:pt>
                <c:pt idx="39">
                  <c:v>312</c:v>
                </c:pt>
                <c:pt idx="40">
                  <c:v>320</c:v>
                </c:pt>
                <c:pt idx="41">
                  <c:v>328</c:v>
                </c:pt>
                <c:pt idx="42">
                  <c:v>336</c:v>
                </c:pt>
                <c:pt idx="43">
                  <c:v>344</c:v>
                </c:pt>
                <c:pt idx="44">
                  <c:v>352</c:v>
                </c:pt>
                <c:pt idx="45">
                  <c:v>360</c:v>
                </c:pt>
                <c:pt idx="46">
                  <c:v>368</c:v>
                </c:pt>
                <c:pt idx="47">
                  <c:v>376</c:v>
                </c:pt>
                <c:pt idx="48">
                  <c:v>384</c:v>
                </c:pt>
                <c:pt idx="49">
                  <c:v>392</c:v>
                </c:pt>
                <c:pt idx="50">
                  <c:v>400</c:v>
                </c:pt>
                <c:pt idx="51">
                  <c:v>408</c:v>
                </c:pt>
                <c:pt idx="52">
                  <c:v>416</c:v>
                </c:pt>
                <c:pt idx="53">
                  <c:v>424</c:v>
                </c:pt>
                <c:pt idx="54">
                  <c:v>432</c:v>
                </c:pt>
                <c:pt idx="55">
                  <c:v>440</c:v>
                </c:pt>
                <c:pt idx="56">
                  <c:v>448</c:v>
                </c:pt>
                <c:pt idx="57">
                  <c:v>456</c:v>
                </c:pt>
                <c:pt idx="58">
                  <c:v>464</c:v>
                </c:pt>
                <c:pt idx="59">
                  <c:v>472</c:v>
                </c:pt>
                <c:pt idx="60">
                  <c:v>480</c:v>
                </c:pt>
                <c:pt idx="61">
                  <c:v>488</c:v>
                </c:pt>
                <c:pt idx="62">
                  <c:v>496</c:v>
                </c:pt>
                <c:pt idx="63">
                  <c:v>504</c:v>
                </c:pt>
                <c:pt idx="64">
                  <c:v>512</c:v>
                </c:pt>
                <c:pt idx="65">
                  <c:v>520</c:v>
                </c:pt>
                <c:pt idx="66">
                  <c:v>528</c:v>
                </c:pt>
                <c:pt idx="67">
                  <c:v>536</c:v>
                </c:pt>
                <c:pt idx="68">
                  <c:v>544</c:v>
                </c:pt>
                <c:pt idx="69">
                  <c:v>552</c:v>
                </c:pt>
                <c:pt idx="70">
                  <c:v>560</c:v>
                </c:pt>
                <c:pt idx="71">
                  <c:v>568</c:v>
                </c:pt>
                <c:pt idx="72">
                  <c:v>576</c:v>
                </c:pt>
                <c:pt idx="73">
                  <c:v>584</c:v>
                </c:pt>
                <c:pt idx="74">
                  <c:v>592</c:v>
                </c:pt>
                <c:pt idx="75">
                  <c:v>600</c:v>
                </c:pt>
                <c:pt idx="76">
                  <c:v>608</c:v>
                </c:pt>
                <c:pt idx="77">
                  <c:v>616</c:v>
                </c:pt>
                <c:pt idx="78">
                  <c:v>624</c:v>
                </c:pt>
                <c:pt idx="79">
                  <c:v>632</c:v>
                </c:pt>
                <c:pt idx="80">
                  <c:v>640</c:v>
                </c:pt>
              </c:numCache>
            </c:numRef>
          </c:xVal>
          <c:yVal>
            <c:numRef>
              <c:f>'model 2'!$F$51:$F$131</c:f>
              <c:numCache>
                <c:formatCode>0.00</c:formatCode>
                <c:ptCount val="81"/>
                <c:pt idx="0">
                  <c:v>1</c:v>
                </c:pt>
                <c:pt idx="1">
                  <c:v>0.88283356531487445</c:v>
                </c:pt>
                <c:pt idx="2">
                  <c:v>0.73205646249370893</c:v>
                </c:pt>
                <c:pt idx="3">
                  <c:v>0.63427228425117388</c:v>
                </c:pt>
                <c:pt idx="4">
                  <c:v>0.56655850227739091</c:v>
                </c:pt>
                <c:pt idx="5">
                  <c:v>0.5164566068372558</c:v>
                </c:pt>
                <c:pt idx="6">
                  <c:v>0.47754669989528464</c:v>
                </c:pt>
                <c:pt idx="7">
                  <c:v>0.44623205898189822</c:v>
                </c:pt>
                <c:pt idx="8">
                  <c:v>0.42033869491405995</c:v>
                </c:pt>
                <c:pt idx="9">
                  <c:v>0.39847010545365946</c:v>
                </c:pt>
                <c:pt idx="10">
                  <c:v>0.37968457375799591</c:v>
                </c:pt>
                <c:pt idx="11">
                  <c:v>0.3633216082218973</c:v>
                </c:pt>
                <c:pt idx="12">
                  <c:v>0.34890274017788814</c:v>
                </c:pt>
                <c:pt idx="13">
                  <c:v>0.33607187309372644</c:v>
                </c:pt>
                <c:pt idx="14">
                  <c:v>0.32455785321663355</c:v>
                </c:pt>
                <c:pt idx="15">
                  <c:v>0.31415011855083996</c:v>
                </c:pt>
                <c:pt idx="16">
                  <c:v>0.30468235696247059</c:v>
                </c:pt>
                <c:pt idx="17">
                  <c:v>0.29602124014816544</c:v>
                </c:pt>
                <c:pt idx="18">
                  <c:v>0.2880584719937731</c:v>
                </c:pt>
                <c:pt idx="19">
                  <c:v>0.28070505863108375</c:v>
                </c:pt>
                <c:pt idx="20">
                  <c:v>0.27388710269227445</c:v>
                </c:pt>
                <c:pt idx="21">
                  <c:v>0.26754266507410485</c:v>
                </c:pt>
                <c:pt idx="22">
                  <c:v>0.26161938833504594</c:v>
                </c:pt>
                <c:pt idx="23">
                  <c:v>0.25607267263898614</c:v>
                </c:pt>
                <c:pt idx="24">
                  <c:v>0.25086425866565154</c:v>
                </c:pt>
                <c:pt idx="25">
                  <c:v>0.24596111441706547</c:v>
                </c:pt>
                <c:pt idx="26">
                  <c:v>0.24133455182542352</c:v>
                </c:pt>
                <c:pt idx="27">
                  <c:v>0.23695951914964608</c:v>
                </c:pt>
                <c:pt idx="28">
                  <c:v>0.23281402927904593</c:v>
                </c:pt>
                <c:pt idx="29">
                  <c:v>0.22887869414659545</c:v>
                </c:pt>
                <c:pt idx="30">
                  <c:v>0.2251363427438835</c:v>
                </c:pt>
                <c:pt idx="31">
                  <c:v>0.22157170556290451</c:v>
                </c:pt>
                <c:pt idx="32">
                  <c:v>0.21817115223506134</c:v>
                </c:pt>
                <c:pt idx="33">
                  <c:v>0.21492247208672777</c:v>
                </c:pt>
                <c:pt idx="34">
                  <c:v>0.21181468955639993</c:v>
                </c:pt>
                <c:pt idx="35">
                  <c:v>0.20883790811350811</c:v>
                </c:pt>
                <c:pt idx="36">
                  <c:v>0.20598317762088358</c:v>
                </c:pt>
                <c:pt idx="37">
                  <c:v>0.20324238109083481</c:v>
                </c:pt>
                <c:pt idx="38">
                  <c:v>0.20060813757104534</c:v>
                </c:pt>
                <c:pt idx="39">
                  <c:v>0.19807371851416078</c:v>
                </c:pt>
                <c:pt idx="40">
                  <c:v>0.19563297547340341</c:v>
                </c:pt>
                <c:pt idx="41">
                  <c:v>0.19328027735530684</c:v>
                </c:pt>
                <c:pt idx="42">
                  <c:v>0.19101045577189724</c:v>
                </c:pt>
                <c:pt idx="43">
                  <c:v>0.18881875728526998</c:v>
                </c:pt>
                <c:pt idx="44">
                  <c:v>0.18670080154037882</c:v>
                </c:pt>
                <c:pt idx="45">
                  <c:v>0.18465254444695045</c:v>
                </c:pt>
                <c:pt idx="46">
                  <c:v>0.18267024570642731</c:v>
                </c:pt>
                <c:pt idx="47">
                  <c:v>0.18075044009073093</c:v>
                </c:pt>
                <c:pt idx="48">
                  <c:v>0.17888991197116844</c:v>
                </c:pt>
                <c:pt idx="49">
                  <c:v>0.17708567267162034</c:v>
                </c:pt>
                <c:pt idx="50">
                  <c:v>0.17533494028326801</c:v>
                </c:pt>
                <c:pt idx="51">
                  <c:v>0.17363512163082162</c:v>
                </c:pt>
                <c:pt idx="52">
                  <c:v>0.17198379612440706</c:v>
                </c:pt>
                <c:pt idx="53">
                  <c:v>0.17037870126846366</c:v>
                </c:pt>
                <c:pt idx="54">
                  <c:v>0.16881771963040459</c:v>
                </c:pt>
                <c:pt idx="55">
                  <c:v>0.16729886709839326</c:v>
                </c:pt>
                <c:pt idx="56">
                  <c:v>0.1658202822802024</c:v>
                </c:pt>
                <c:pt idx="57">
                  <c:v>0.16438021691438798</c:v>
                </c:pt>
                <c:pt idx="58">
                  <c:v>0.16297702718149876</c:v>
                </c:pt>
                <c:pt idx="59">
                  <c:v>0.16160916581715856</c:v>
                </c:pt>
                <c:pt idx="60">
                  <c:v>0.16027517494101562</c:v>
                </c:pt>
                <c:pt idx="61">
                  <c:v>0.15897367952601993</c:v>
                </c:pt>
                <c:pt idx="62">
                  <c:v>0.15770338144153806</c:v>
                </c:pt>
                <c:pt idx="63">
                  <c:v>0.15646305401165783</c:v>
                </c:pt>
                <c:pt idx="64">
                  <c:v>0.15525153703684547</c:v>
                </c:pt>
                <c:pt idx="65">
                  <c:v>0.15406773223303638</c:v>
                </c:pt>
                <c:pt idx="66">
                  <c:v>0.1529105990474231</c:v>
                </c:pt>
                <c:pt idx="67">
                  <c:v>0.15177915081471327</c:v>
                </c:pt>
                <c:pt idx="68">
                  <c:v>0.15067245122159734</c:v>
                </c:pt>
                <c:pt idx="69">
                  <c:v>0.14958961105063939</c:v>
                </c:pt>
                <c:pt idx="70">
                  <c:v>0.14852978517786464</c:v>
                </c:pt>
                <c:pt idx="71">
                  <c:v>0.14749216980100721</c:v>
                </c:pt>
                <c:pt idx="72">
                  <c:v>0.14647599987777093</c:v>
                </c:pt>
                <c:pt idx="73">
                  <c:v>0.14548054675554689</c:v>
                </c:pt>
                <c:pt idx="74">
                  <c:v>0.14450511597591276</c:v>
                </c:pt>
                <c:pt idx="75">
                  <c:v>0.14354904523887568</c:v>
                </c:pt>
                <c:pt idx="76">
                  <c:v>0.14261170251331112</c:v>
                </c:pt>
                <c:pt idx="77">
                  <c:v>0.14169248428134296</c:v>
                </c:pt>
                <c:pt idx="78">
                  <c:v>0.14079081390559356</c:v>
                </c:pt>
                <c:pt idx="79">
                  <c:v>0.1399061401092645</c:v>
                </c:pt>
                <c:pt idx="80">
                  <c:v>0.13903793555994959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'model 2'!$G$50</c:f>
              <c:strCache>
                <c:ptCount val="1"/>
                <c:pt idx="0">
                  <c:v>0.3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2'!$B$51:$B$131</c:f>
              <c:numCache>
                <c:formatCode>General</c:formatCode>
                <c:ptCount val="81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  <c:pt idx="25">
                  <c:v>200</c:v>
                </c:pt>
                <c:pt idx="26">
                  <c:v>208</c:v>
                </c:pt>
                <c:pt idx="27">
                  <c:v>216</c:v>
                </c:pt>
                <c:pt idx="28">
                  <c:v>224</c:v>
                </c:pt>
                <c:pt idx="29">
                  <c:v>232</c:v>
                </c:pt>
                <c:pt idx="30">
                  <c:v>240</c:v>
                </c:pt>
                <c:pt idx="31">
                  <c:v>248</c:v>
                </c:pt>
                <c:pt idx="32">
                  <c:v>256</c:v>
                </c:pt>
                <c:pt idx="33">
                  <c:v>264</c:v>
                </c:pt>
                <c:pt idx="34">
                  <c:v>272</c:v>
                </c:pt>
                <c:pt idx="35">
                  <c:v>280</c:v>
                </c:pt>
                <c:pt idx="36">
                  <c:v>288</c:v>
                </c:pt>
                <c:pt idx="37">
                  <c:v>296</c:v>
                </c:pt>
                <c:pt idx="38">
                  <c:v>304</c:v>
                </c:pt>
                <c:pt idx="39">
                  <c:v>312</c:v>
                </c:pt>
                <c:pt idx="40">
                  <c:v>320</c:v>
                </c:pt>
                <c:pt idx="41">
                  <c:v>328</c:v>
                </c:pt>
                <c:pt idx="42">
                  <c:v>336</c:v>
                </c:pt>
                <c:pt idx="43">
                  <c:v>344</c:v>
                </c:pt>
                <c:pt idx="44">
                  <c:v>352</c:v>
                </c:pt>
                <c:pt idx="45">
                  <c:v>360</c:v>
                </c:pt>
                <c:pt idx="46">
                  <c:v>368</c:v>
                </c:pt>
                <c:pt idx="47">
                  <c:v>376</c:v>
                </c:pt>
                <c:pt idx="48">
                  <c:v>384</c:v>
                </c:pt>
                <c:pt idx="49">
                  <c:v>392</c:v>
                </c:pt>
                <c:pt idx="50">
                  <c:v>400</c:v>
                </c:pt>
                <c:pt idx="51">
                  <c:v>408</c:v>
                </c:pt>
                <c:pt idx="52">
                  <c:v>416</c:v>
                </c:pt>
                <c:pt idx="53">
                  <c:v>424</c:v>
                </c:pt>
                <c:pt idx="54">
                  <c:v>432</c:v>
                </c:pt>
                <c:pt idx="55">
                  <c:v>440</c:v>
                </c:pt>
                <c:pt idx="56">
                  <c:v>448</c:v>
                </c:pt>
                <c:pt idx="57">
                  <c:v>456</c:v>
                </c:pt>
                <c:pt idx="58">
                  <c:v>464</c:v>
                </c:pt>
                <c:pt idx="59">
                  <c:v>472</c:v>
                </c:pt>
                <c:pt idx="60">
                  <c:v>480</c:v>
                </c:pt>
                <c:pt idx="61">
                  <c:v>488</c:v>
                </c:pt>
                <c:pt idx="62">
                  <c:v>496</c:v>
                </c:pt>
                <c:pt idx="63">
                  <c:v>504</c:v>
                </c:pt>
                <c:pt idx="64">
                  <c:v>512</c:v>
                </c:pt>
                <c:pt idx="65">
                  <c:v>520</c:v>
                </c:pt>
                <c:pt idx="66">
                  <c:v>528</c:v>
                </c:pt>
                <c:pt idx="67">
                  <c:v>536</c:v>
                </c:pt>
                <c:pt idx="68">
                  <c:v>544</c:v>
                </c:pt>
                <c:pt idx="69">
                  <c:v>552</c:v>
                </c:pt>
                <c:pt idx="70">
                  <c:v>560</c:v>
                </c:pt>
                <c:pt idx="71">
                  <c:v>568</c:v>
                </c:pt>
                <c:pt idx="72">
                  <c:v>576</c:v>
                </c:pt>
                <c:pt idx="73">
                  <c:v>584</c:v>
                </c:pt>
                <c:pt idx="74">
                  <c:v>592</c:v>
                </c:pt>
                <c:pt idx="75">
                  <c:v>600</c:v>
                </c:pt>
                <c:pt idx="76">
                  <c:v>608</c:v>
                </c:pt>
                <c:pt idx="77">
                  <c:v>616</c:v>
                </c:pt>
                <c:pt idx="78">
                  <c:v>624</c:v>
                </c:pt>
                <c:pt idx="79">
                  <c:v>632</c:v>
                </c:pt>
                <c:pt idx="80">
                  <c:v>640</c:v>
                </c:pt>
              </c:numCache>
            </c:numRef>
          </c:xVal>
          <c:yVal>
            <c:numRef>
              <c:f>'model 2'!$G$51:$G$131</c:f>
              <c:numCache>
                <c:formatCode>0.00</c:formatCode>
                <c:ptCount val="81"/>
                <c:pt idx="0">
                  <c:v>1</c:v>
                </c:pt>
                <c:pt idx="1">
                  <c:v>0.94118417315271197</c:v>
                </c:pt>
                <c:pt idx="2">
                  <c:v>0.8184646976505221</c:v>
                </c:pt>
                <c:pt idx="3">
                  <c:v>0.72466184736164618</c:v>
                </c:pt>
                <c:pt idx="4">
                  <c:v>0.65518562227219479</c:v>
                </c:pt>
                <c:pt idx="5">
                  <c:v>0.60186461551145909</c:v>
                </c:pt>
                <c:pt idx="6">
                  <c:v>0.55949018628244351</c:v>
                </c:pt>
                <c:pt idx="7">
                  <c:v>0.52484275797827262</c:v>
                </c:pt>
                <c:pt idx="8">
                  <c:v>0.49586012558662218</c:v>
                </c:pt>
                <c:pt idx="9">
                  <c:v>0.47116544023892803</c:v>
                </c:pt>
                <c:pt idx="10">
                  <c:v>0.4498041669707975</c:v>
                </c:pt>
                <c:pt idx="11">
                  <c:v>0.4310926938108266</c:v>
                </c:pt>
                <c:pt idx="12">
                  <c:v>0.41452764443155887</c:v>
                </c:pt>
                <c:pt idx="13">
                  <c:v>0.39972942676279688</c:v>
                </c:pt>
                <c:pt idx="14">
                  <c:v>0.38640585309458264</c:v>
                </c:pt>
                <c:pt idx="15">
                  <c:v>0.37432796336659946</c:v>
                </c:pt>
                <c:pt idx="16">
                  <c:v>0.3633135162137644</c:v>
                </c:pt>
                <c:pt idx="17">
                  <c:v>0.35321544206269828</c:v>
                </c:pt>
                <c:pt idx="18">
                  <c:v>0.34391359292417256</c:v>
                </c:pt>
                <c:pt idx="19">
                  <c:v>0.33530873457233623</c:v>
                </c:pt>
                <c:pt idx="20">
                  <c:v>0.32731809649059818</c:v>
                </c:pt>
                <c:pt idx="21">
                  <c:v>0.3198720247302802</c:v>
                </c:pt>
                <c:pt idx="22">
                  <c:v>0.31291142916094761</c:v>
                </c:pt>
                <c:pt idx="23">
                  <c:v>0.30638581187867531</c:v>
                </c:pt>
                <c:pt idx="24">
                  <c:v>0.30025172685379031</c:v>
                </c:pt>
                <c:pt idx="25">
                  <c:v>0.29447156375460048</c:v>
                </c:pt>
                <c:pt idx="26">
                  <c:v>0.28901257838498329</c:v>
                </c:pt>
                <c:pt idx="27">
                  <c:v>0.28384611280066974</c:v>
                </c:pt>
                <c:pt idx="28">
                  <c:v>0.27894696279928022</c:v>
                </c:pt>
                <c:pt idx="29">
                  <c:v>0.27429286099444594</c:v>
                </c:pt>
                <c:pt idx="30">
                  <c:v>0.26986405133535607</c:v>
                </c:pt>
                <c:pt idx="31">
                  <c:v>0.26564293656391902</c:v>
                </c:pt>
                <c:pt idx="32">
                  <c:v>0.26161378429002591</c:v>
                </c:pt>
                <c:pt idx="33">
                  <c:v>0.2577624805118286</c:v>
                </c:pt>
                <c:pt idx="34">
                  <c:v>0.25407632179364148</c:v>
                </c:pt>
                <c:pt idx="35">
                  <c:v>0.25054383913883838</c:v>
                </c:pt>
                <c:pt idx="36">
                  <c:v>0.2471546480022464</c:v>
                </c:pt>
                <c:pt idx="37">
                  <c:v>0.24389931998001524</c:v>
                </c:pt>
                <c:pt idx="38">
                  <c:v>0.24076927257086633</c:v>
                </c:pt>
                <c:pt idx="39">
                  <c:v>0.23775667407719325</c:v>
                </c:pt>
                <c:pt idx="40">
                  <c:v>0.23485436124960501</c:v>
                </c:pt>
                <c:pt idx="41">
                  <c:v>0.23205576770557879</c:v>
                </c:pt>
                <c:pt idx="42">
                  <c:v>0.22935486149575723</c:v>
                </c:pt>
                <c:pt idx="43">
                  <c:v>0.22674609046819327</c:v>
                </c:pt>
                <c:pt idx="44">
                  <c:v>0.22422433430544486</c:v>
                </c:pt>
                <c:pt idx="45">
                  <c:v>0.22178486229259597</c:v>
                </c:pt>
                <c:pt idx="46">
                  <c:v>0.21942329602438537</c:v>
                </c:pt>
                <c:pt idx="47">
                  <c:v>0.21713557638319347</c:v>
                </c:pt>
                <c:pt idx="48">
                  <c:v>0.21491793422179994</c:v>
                </c:pt>
                <c:pt idx="49">
                  <c:v>0.21276686426964986</c:v>
                </c:pt>
                <c:pt idx="50">
                  <c:v>0.21067910185207128</c:v>
                </c:pt>
                <c:pt idx="51">
                  <c:v>0.20865160207103783</c:v>
                </c:pt>
                <c:pt idx="52">
                  <c:v>0.20668152114576865</c:v>
                </c:pt>
                <c:pt idx="53">
                  <c:v>0.20476619965331699</c:v>
                </c:pt>
                <c:pt idx="54">
                  <c:v>0.20290314744471227</c:v>
                </c:pt>
                <c:pt idx="55">
                  <c:v>0.20109003004225556</c:v>
                </c:pt>
                <c:pt idx="56">
                  <c:v>0.1993246563491331</c:v>
                </c:pt>
                <c:pt idx="57">
                  <c:v>0.19760496752433188</c:v>
                </c:pt>
                <c:pt idx="58">
                  <c:v>0.19592902689451419</c:v>
                </c:pt>
                <c:pt idx="59">
                  <c:v>0.194295010790553</c:v>
                </c:pt>
                <c:pt idx="60">
                  <c:v>0.19270120021021975</c:v>
                </c:pt>
                <c:pt idx="61">
                  <c:v>0.19114597322043525</c:v>
                </c:pt>
                <c:pt idx="62">
                  <c:v>0.18962779802279495</c:v>
                </c:pt>
                <c:pt idx="63">
                  <c:v>0.18814522661501698</c:v>
                </c:pt>
                <c:pt idx="64">
                  <c:v>0.18669688898873105</c:v>
                </c:pt>
                <c:pt idx="65">
                  <c:v>0.18528148781079312</c:v>
                </c:pt>
                <c:pt idx="66">
                  <c:v>0.18389779354122449</c:v>
                </c:pt>
                <c:pt idx="67">
                  <c:v>0.18254463994604109</c:v>
                </c:pt>
                <c:pt idx="68">
                  <c:v>0.18122091996777767</c:v>
                </c:pt>
                <c:pt idx="69">
                  <c:v>0.17992558192049413</c:v>
                </c:pt>
                <c:pt idx="70">
                  <c:v>0.17865762597956047</c:v>
                </c:pt>
                <c:pt idx="71">
                  <c:v>0.17741610093960691</c:v>
                </c:pt>
                <c:pt idx="72">
                  <c:v>0.17620010121676577</c:v>
                </c:pt>
                <c:pt idx="73">
                  <c:v>0.17500876407374211</c:v>
                </c:pt>
                <c:pt idx="74">
                  <c:v>0.17384126704840819</c:v>
                </c:pt>
                <c:pt idx="75">
                  <c:v>0.1726968255685073</c:v>
                </c:pt>
                <c:pt idx="76">
                  <c:v>0.17157469073676124</c:v>
                </c:pt>
                <c:pt idx="77">
                  <c:v>0.17047414727217891</c:v>
                </c:pt>
                <c:pt idx="78">
                  <c:v>0.16939451159471441</c:v>
                </c:pt>
                <c:pt idx="79">
                  <c:v>0.16833513004162315</c:v>
                </c:pt>
                <c:pt idx="80">
                  <c:v>0.16729537720495302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'model 2'!$I$50</c:f>
              <c:strCache>
                <c:ptCount val="1"/>
                <c:pt idx="0">
                  <c:v>0.5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2'!$B$51:$B$131</c:f>
              <c:numCache>
                <c:formatCode>General</c:formatCode>
                <c:ptCount val="81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  <c:pt idx="25">
                  <c:v>200</c:v>
                </c:pt>
                <c:pt idx="26">
                  <c:v>208</c:v>
                </c:pt>
                <c:pt idx="27">
                  <c:v>216</c:v>
                </c:pt>
                <c:pt idx="28">
                  <c:v>224</c:v>
                </c:pt>
                <c:pt idx="29">
                  <c:v>232</c:v>
                </c:pt>
                <c:pt idx="30">
                  <c:v>240</c:v>
                </c:pt>
                <c:pt idx="31">
                  <c:v>248</c:v>
                </c:pt>
                <c:pt idx="32">
                  <c:v>256</c:v>
                </c:pt>
                <c:pt idx="33">
                  <c:v>264</c:v>
                </c:pt>
                <c:pt idx="34">
                  <c:v>272</c:v>
                </c:pt>
                <c:pt idx="35">
                  <c:v>280</c:v>
                </c:pt>
                <c:pt idx="36">
                  <c:v>288</c:v>
                </c:pt>
                <c:pt idx="37">
                  <c:v>296</c:v>
                </c:pt>
                <c:pt idx="38">
                  <c:v>304</c:v>
                </c:pt>
                <c:pt idx="39">
                  <c:v>312</c:v>
                </c:pt>
                <c:pt idx="40">
                  <c:v>320</c:v>
                </c:pt>
                <c:pt idx="41">
                  <c:v>328</c:v>
                </c:pt>
                <c:pt idx="42">
                  <c:v>336</c:v>
                </c:pt>
                <c:pt idx="43">
                  <c:v>344</c:v>
                </c:pt>
                <c:pt idx="44">
                  <c:v>352</c:v>
                </c:pt>
                <c:pt idx="45">
                  <c:v>360</c:v>
                </c:pt>
                <c:pt idx="46">
                  <c:v>368</c:v>
                </c:pt>
                <c:pt idx="47">
                  <c:v>376</c:v>
                </c:pt>
                <c:pt idx="48">
                  <c:v>384</c:v>
                </c:pt>
                <c:pt idx="49">
                  <c:v>392</c:v>
                </c:pt>
                <c:pt idx="50">
                  <c:v>400</c:v>
                </c:pt>
                <c:pt idx="51">
                  <c:v>408</c:v>
                </c:pt>
                <c:pt idx="52">
                  <c:v>416</c:v>
                </c:pt>
                <c:pt idx="53">
                  <c:v>424</c:v>
                </c:pt>
                <c:pt idx="54">
                  <c:v>432</c:v>
                </c:pt>
                <c:pt idx="55">
                  <c:v>440</c:v>
                </c:pt>
                <c:pt idx="56">
                  <c:v>448</c:v>
                </c:pt>
                <c:pt idx="57">
                  <c:v>456</c:v>
                </c:pt>
                <c:pt idx="58">
                  <c:v>464</c:v>
                </c:pt>
                <c:pt idx="59">
                  <c:v>472</c:v>
                </c:pt>
                <c:pt idx="60">
                  <c:v>480</c:v>
                </c:pt>
                <c:pt idx="61">
                  <c:v>488</c:v>
                </c:pt>
                <c:pt idx="62">
                  <c:v>496</c:v>
                </c:pt>
                <c:pt idx="63">
                  <c:v>504</c:v>
                </c:pt>
                <c:pt idx="64">
                  <c:v>512</c:v>
                </c:pt>
                <c:pt idx="65">
                  <c:v>520</c:v>
                </c:pt>
                <c:pt idx="66">
                  <c:v>528</c:v>
                </c:pt>
                <c:pt idx="67">
                  <c:v>536</c:v>
                </c:pt>
                <c:pt idx="68">
                  <c:v>544</c:v>
                </c:pt>
                <c:pt idx="69">
                  <c:v>552</c:v>
                </c:pt>
                <c:pt idx="70">
                  <c:v>560</c:v>
                </c:pt>
                <c:pt idx="71">
                  <c:v>568</c:v>
                </c:pt>
                <c:pt idx="72">
                  <c:v>576</c:v>
                </c:pt>
                <c:pt idx="73">
                  <c:v>584</c:v>
                </c:pt>
                <c:pt idx="74">
                  <c:v>592</c:v>
                </c:pt>
                <c:pt idx="75">
                  <c:v>600</c:v>
                </c:pt>
                <c:pt idx="76">
                  <c:v>608</c:v>
                </c:pt>
                <c:pt idx="77">
                  <c:v>616</c:v>
                </c:pt>
                <c:pt idx="78">
                  <c:v>624</c:v>
                </c:pt>
                <c:pt idx="79">
                  <c:v>632</c:v>
                </c:pt>
                <c:pt idx="80">
                  <c:v>640</c:v>
                </c:pt>
              </c:numCache>
            </c:numRef>
          </c:xVal>
          <c:yVal>
            <c:numRef>
              <c:f>'model 2'!$I$51:$I$131</c:f>
              <c:numCache>
                <c:formatCode>0.00</c:formatCode>
                <c:ptCount val="81"/>
                <c:pt idx="0">
                  <c:v>1</c:v>
                </c:pt>
                <c:pt idx="1">
                  <c:v>0.98875992639469956</c:v>
                </c:pt>
                <c:pt idx="2">
                  <c:v>0.92694815456880097</c:v>
                </c:pt>
                <c:pt idx="3">
                  <c:v>0.85668173225498379</c:v>
                </c:pt>
                <c:pt idx="4">
                  <c:v>0.79500704171887326</c:v>
                </c:pt>
                <c:pt idx="5">
                  <c:v>0.74305372759188426</c:v>
                </c:pt>
                <c:pt idx="6">
                  <c:v>0.69926626836151984</c:v>
                </c:pt>
                <c:pt idx="7">
                  <c:v>0.66198386657564523</c:v>
                </c:pt>
                <c:pt idx="8">
                  <c:v>0.62986015605875645</c:v>
                </c:pt>
                <c:pt idx="9">
                  <c:v>0.60186391934303796</c:v>
                </c:pt>
                <c:pt idx="10">
                  <c:v>0.57721179686974011</c:v>
                </c:pt>
                <c:pt idx="11">
                  <c:v>0.55530462864570618</c:v>
                </c:pt>
                <c:pt idx="12">
                  <c:v>0.53567869479998231</c:v>
                </c:pt>
                <c:pt idx="13">
                  <c:v>0.5179703547991199</c:v>
                </c:pt>
                <c:pt idx="14">
                  <c:v>0.5018907122400893</c:v>
                </c:pt>
                <c:pt idx="15">
                  <c:v>0.48720740231301018</c:v>
                </c:pt>
                <c:pt idx="16">
                  <c:v>0.47373137469214655</c:v>
                </c:pt>
                <c:pt idx="17">
                  <c:v>0.46130718710996721</c:v>
                </c:pt>
                <c:pt idx="18">
                  <c:v>0.44980578693516415</c:v>
                </c:pt>
                <c:pt idx="19">
                  <c:v>0.43911907560173535</c:v>
                </c:pt>
                <c:pt idx="20">
                  <c:v>0.42915576606306094</c:v>
                </c:pt>
                <c:pt idx="21">
                  <c:v>0.4198381895080272</c:v>
                </c:pt>
                <c:pt idx="22">
                  <c:v>0.41109980730667339</c:v>
                </c:pt>
                <c:pt idx="23">
                  <c:v>0.40288325289903959</c:v>
                </c:pt>
                <c:pt idx="24">
                  <c:v>0.39513877624596017</c:v>
                </c:pt>
                <c:pt idx="25">
                  <c:v>0.38782299722278091</c:v>
                </c:pt>
                <c:pt idx="26">
                  <c:v>0.38089789840274157</c:v>
                </c:pt>
                <c:pt idx="27">
                  <c:v>0.37433000502196179</c:v>
                </c:pt>
                <c:pt idx="28">
                  <c:v>0.36808971255380651</c:v>
                </c:pt>
                <c:pt idx="29">
                  <c:v>0.36215073162028055</c:v>
                </c:pt>
                <c:pt idx="30">
                  <c:v>0.35648962687991359</c:v>
                </c:pt>
                <c:pt idx="31">
                  <c:v>0.3510854317164811</c:v>
                </c:pt>
                <c:pt idx="32">
                  <c:v>0.34591932447676998</c:v>
                </c:pt>
                <c:pt idx="33">
                  <c:v>0.3409743550000619</c:v>
                </c:pt>
                <c:pt idx="34">
                  <c:v>0.33623521248538757</c:v>
                </c:pt>
                <c:pt idx="35">
                  <c:v>0.3316880275277807</c:v>
                </c:pt>
                <c:pt idx="36">
                  <c:v>0.32732020254820715</c:v>
                </c:pt>
                <c:pt idx="37">
                  <c:v>0.32312026593691767</c:v>
                </c:pt>
                <c:pt idx="38">
                  <c:v>0.31907774609612471</c:v>
                </c:pt>
                <c:pt idx="39">
                  <c:v>0.3151830622571723</c:v>
                </c:pt>
                <c:pt idx="40">
                  <c:v>0.31142742949911972</c:v>
                </c:pt>
                <c:pt idx="41">
                  <c:v>0.30780277583972815</c:v>
                </c:pt>
                <c:pt idx="42">
                  <c:v>0.30430166962919936</c:v>
                </c:pt>
                <c:pt idx="43">
                  <c:v>0.30091725576924722</c:v>
                </c:pt>
                <c:pt idx="44">
                  <c:v>0.2976431995188924</c:v>
                </c:pt>
                <c:pt idx="45">
                  <c:v>0.29447363684442873</c:v>
                </c:pt>
                <c:pt idx="46">
                  <c:v>0.29140313043267585</c:v>
                </c:pt>
                <c:pt idx="47">
                  <c:v>0.28842663062048923</c:v>
                </c:pt>
                <c:pt idx="48">
                  <c:v>0.28553944060480729</c:v>
                </c:pt>
                <c:pt idx="49">
                  <c:v>0.2827371853904046</c:v>
                </c:pt>
                <c:pt idx="50">
                  <c:v>0.28001578401034433</c:v>
                </c:pt>
                <c:pt idx="51">
                  <c:v>0.27737142461955289</c:v>
                </c:pt>
                <c:pt idx="52">
                  <c:v>0.27480054211713423</c:v>
                </c:pt>
                <c:pt idx="53">
                  <c:v>0.27229979799977388</c:v>
                </c:pt>
                <c:pt idx="54">
                  <c:v>0.26986606218823694</c:v>
                </c:pt>
                <c:pt idx="55">
                  <c:v>0.26749639660277369</c:v>
                </c:pt>
                <c:pt idx="56">
                  <c:v>0.26518804029209697</c:v>
                </c:pt>
                <c:pt idx="57">
                  <c:v>0.26293839594532975</c:v>
                </c:pt>
                <c:pt idx="58">
                  <c:v>0.26074501763755875</c:v>
                </c:pt>
                <c:pt idx="59">
                  <c:v>0.25860559967793018</c:v>
                </c:pt>
                <c:pt idx="60">
                  <c:v>0.25651796644501834</c:v>
                </c:pt>
                <c:pt idx="61">
                  <c:v>0.25448006310787163</c:v>
                </c:pt>
                <c:pt idx="62">
                  <c:v>0.25248994714301332</c:v>
                </c:pt>
                <c:pt idx="63">
                  <c:v>0.2505457805679927</c:v>
                </c:pt>
                <c:pt idx="64">
                  <c:v>0.24864582282107262</c:v>
                </c:pt>
                <c:pt idx="65">
                  <c:v>0.2467884242245113</c:v>
                </c:pt>
                <c:pt idx="66">
                  <c:v>0.24497201997576501</c:v>
                </c:pt>
                <c:pt idx="67">
                  <c:v>0.24319512461697834</c:v>
                </c:pt>
                <c:pt idx="68">
                  <c:v>0.24145632693843577</c:v>
                </c:pt>
                <c:pt idx="69">
                  <c:v>0.23975428527631437</c:v>
                </c:pt>
                <c:pt idx="70">
                  <c:v>0.23808772316920357</c:v>
                </c:pt>
                <c:pt idx="71">
                  <c:v>0.23645542534149988</c:v>
                </c:pt>
                <c:pt idx="72">
                  <c:v>0.2348562339850071</c:v>
                </c:pt>
                <c:pt idx="73">
                  <c:v>0.23328904531293904</c:v>
                </c:pt>
                <c:pt idx="74">
                  <c:v>0.23175280636305828</c:v>
                </c:pt>
                <c:pt idx="75">
                  <c:v>0.23024651202895141</c:v>
                </c:pt>
                <c:pt idx="76">
                  <c:v>0.22876920230044928</c:v>
                </c:pt>
                <c:pt idx="77">
                  <c:v>0.22731995969601315</c:v>
                </c:pt>
                <c:pt idx="78">
                  <c:v>0.22589790687149902</c:v>
                </c:pt>
                <c:pt idx="79">
                  <c:v>0.22450220439117041</c:v>
                </c:pt>
                <c:pt idx="80">
                  <c:v>0.2231320486481092</c:v>
                </c:pt>
              </c:numCache>
            </c:numRef>
          </c:yVal>
          <c:smooth val="1"/>
        </c:ser>
        <c:axId val="109919232"/>
        <c:axId val="109933696"/>
      </c:scatterChart>
      <c:valAx>
        <c:axId val="109919232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(years)</a:t>
                </a:r>
              </a:p>
            </c:rich>
          </c:tx>
          <c:layout>
            <c:manualLayout>
              <c:xMode val="edge"/>
              <c:yMode val="edge"/>
              <c:x val="0.32839583940896344"/>
              <c:y val="0.9367691333665273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9933696"/>
        <c:crosses val="autoZero"/>
        <c:crossBetween val="midCat"/>
      </c:valAx>
      <c:valAx>
        <c:axId val="109933696"/>
        <c:scaling>
          <c:orientation val="minMax"/>
          <c:min val="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(mg/L)</a:t>
                </a:r>
              </a:p>
            </c:rich>
          </c:tx>
          <c:layout>
            <c:manualLayout>
              <c:xMode val="edge"/>
              <c:yMode val="edge"/>
              <c:x val="4.1975308641975163E-2"/>
              <c:y val="0.39344311469263082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9919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6313146041934"/>
          <c:y val="0.32318550345141334"/>
          <c:w val="0.17366306989404101"/>
          <c:h val="0.3138175760816795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>
        <c:manualLayout>
          <c:layoutTarget val="inner"/>
          <c:xMode val="edge"/>
          <c:yMode val="edge"/>
          <c:x val="0.19999540482957387"/>
          <c:y val="8.8424920692993944E-2"/>
          <c:w val="0.58621663681488667"/>
          <c:h val="0.79355654617549254"/>
        </c:manualLayout>
      </c:layout>
      <c:scatterChart>
        <c:scatterStyle val="smoothMarker"/>
        <c:ser>
          <c:idx val="0"/>
          <c:order val="0"/>
          <c:tx>
            <c:v>fracture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'model 1a'!$B$50:$B$130</c:f>
              <c:numCache>
                <c:formatCode>General</c:formatCode>
                <c:ptCount val="8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</c:numCache>
            </c:numRef>
          </c:xVal>
          <c:yVal>
            <c:numRef>
              <c:f>'model 1a'!$E$50:$E$130</c:f>
              <c:numCache>
                <c:formatCode>0.00</c:formatCode>
                <c:ptCount val="81"/>
                <c:pt idx="0">
                  <c:v>0</c:v>
                </c:pt>
                <c:pt idx="1">
                  <c:v>1.5377890979005659E-2</c:v>
                </c:pt>
                <c:pt idx="2">
                  <c:v>3.060914981941254E-2</c:v>
                </c:pt>
                <c:pt idx="3">
                  <c:v>4.5549132275749082E-2</c:v>
                </c:pt>
                <c:pt idx="4">
                  <c:v>6.0057984650317087E-2</c:v>
                </c:pt>
                <c:pt idx="5">
                  <c:v>7.4002903323827196E-2</c:v>
                </c:pt>
                <c:pt idx="6">
                  <c:v>8.7260227516350319E-2</c:v>
                </c:pt>
                <c:pt idx="7">
                  <c:v>9.9717317739435929E-2</c:v>
                </c:pt>
                <c:pt idx="8">
                  <c:v>0.111274179043928</c:v>
                </c:pt>
                <c:pt idx="9">
                  <c:v>0.12184479597783526</c:v>
                </c:pt>
                <c:pt idx="10">
                  <c:v>0.13135815484553537</c:v>
                </c:pt>
                <c:pt idx="11">
                  <c:v>0.1397589380772335</c:v>
                </c:pt>
                <c:pt idx="12">
                  <c:v>0.14700788493689521</c:v>
                </c:pt>
                <c:pt idx="13">
                  <c:v>0.15308182208126664</c:v>
                </c:pt>
                <c:pt idx="14">
                  <c:v>0.15797337631219688</c:v>
                </c:pt>
                <c:pt idx="15">
                  <c:v>0.16169038994941309</c:v>
                </c:pt>
                <c:pt idx="16">
                  <c:v>0.16425506634232234</c:v>
                </c:pt>
                <c:pt idx="17">
                  <c:v>0.16570287893846558</c:v>
                </c:pt>
                <c:pt idx="18">
                  <c:v>0.16608128188997728</c:v>
                </c:pt>
                <c:pt idx="19">
                  <c:v>0.1654482633240062</c:v>
                </c:pt>
                <c:pt idx="20">
                  <c:v>0.16387078410398437</c:v>
                </c:pt>
                <c:pt idx="21">
                  <c:v>0.16142314519827416</c:v>
                </c:pt>
                <c:pt idx="22">
                  <c:v>0.15818532573500321</c:v>
                </c:pt>
                <c:pt idx="23">
                  <c:v>0.15424133158569786</c:v>
                </c:pt>
                <c:pt idx="24">
                  <c:v>0.149677591050426</c:v>
                </c:pt>
                <c:pt idx="25">
                  <c:v>0.14458143010488844</c:v>
                </c:pt>
                <c:pt idx="26">
                  <c:v>0.13903965492295578</c:v>
                </c:pt>
                <c:pt idx="27">
                  <c:v>0.13313726422045402</c:v>
                </c:pt>
                <c:pt idx="28">
                  <c:v>0.12695630858863716</c:v>
                </c:pt>
                <c:pt idx="29">
                  <c:v>0.12057490859801945</c:v>
                </c:pt>
                <c:pt idx="30">
                  <c:v>0.11406643823589802</c:v>
                </c:pt>
                <c:pt idx="31">
                  <c:v>0.10749887535040981</c:v>
                </c:pt>
                <c:pt idx="32">
                  <c:v>0.10093431633865535</c:v>
                </c:pt>
                <c:pt idx="33">
                  <c:v>9.4428648434054185E-2</c:v>
                </c:pt>
                <c:pt idx="34">
                  <c:v>8.8031369685404259E-2</c:v>
                </c:pt>
                <c:pt idx="35">
                  <c:v>8.1785544113552211E-2</c:v>
                </c:pt>
                <c:pt idx="36">
                  <c:v>7.5727877589237824E-2</c:v>
                </c:pt>
                <c:pt idx="37">
                  <c:v>6.9888898680661171E-2</c:v>
                </c:pt>
                <c:pt idx="38">
                  <c:v>6.4293228033256433E-2</c:v>
                </c:pt>
                <c:pt idx="39">
                  <c:v>5.8959919711605968E-2</c:v>
                </c:pt>
                <c:pt idx="40">
                  <c:v>5.3902858286344779E-2</c:v>
                </c:pt>
                <c:pt idx="41">
                  <c:v>4.9131196210955741E-2</c:v>
                </c:pt>
                <c:pt idx="42">
                  <c:v>4.4649817124231106E-2</c:v>
                </c:pt>
                <c:pt idx="43">
                  <c:v>4.0459812053100119E-2</c:v>
                </c:pt>
                <c:pt idx="44">
                  <c:v>3.6558956999800607E-2</c:v>
                </c:pt>
                <c:pt idx="45">
                  <c:v>3.2942182004706E-2</c:v>
                </c:pt>
                <c:pt idx="46">
                  <c:v>2.9602023416710477E-2</c:v>
                </c:pt>
                <c:pt idx="47">
                  <c:v>2.6529052721087742E-2</c:v>
                </c:pt>
                <c:pt idx="48">
                  <c:v>2.3712276823792733E-2</c:v>
                </c:pt>
                <c:pt idx="49">
                  <c:v>2.1139506134797648E-2</c:v>
                </c:pt>
                <c:pt idx="50">
                  <c:v>1.8797688104520205E-2</c:v>
                </c:pt>
                <c:pt idx="51">
                  <c:v>1.667320502858316E-2</c:v>
                </c:pt>
                <c:pt idx="52">
                  <c:v>1.4752135937646571E-2</c:v>
                </c:pt>
                <c:pt idx="53">
                  <c:v>1.3020483227986768E-2</c:v>
                </c:pt>
                <c:pt idx="54">
                  <c:v>1.1464365368262674E-2</c:v>
                </c:pt>
                <c:pt idx="55">
                  <c:v>1.0070177546559034E-2</c:v>
                </c:pt>
                <c:pt idx="56">
                  <c:v>8.8247225107265237E-3</c:v>
                </c:pt>
                <c:pt idx="57">
                  <c:v>7.7153141184203022E-3</c:v>
                </c:pt>
                <c:pt idx="58">
                  <c:v>6.7298562665341066E-3</c:v>
                </c:pt>
                <c:pt idx="59">
                  <c:v>5.8568999289234647E-3</c:v>
                </c:pt>
                <c:pt idx="60">
                  <c:v>5.0856810126493901E-3</c:v>
                </c:pt>
                <c:pt idx="61">
                  <c:v>4.4061416615843729E-3</c:v>
                </c:pt>
                <c:pt idx="62">
                  <c:v>3.8089375068430797E-3</c:v>
                </c:pt>
                <c:pt idx="63">
                  <c:v>3.285433198286114E-3</c:v>
                </c:pt>
                <c:pt idx="64">
                  <c:v>2.8276883630180549E-3</c:v>
                </c:pt>
                <c:pt idx="65">
                  <c:v>2.4284359337651829E-3</c:v>
                </c:pt>
                <c:pt idx="66">
                  <c:v>2.0810545812572911E-3</c:v>
                </c:pt>
                <c:pt idx="67">
                  <c:v>1.7795367776722859E-3</c:v>
                </c:pt>
                <c:pt idx="68">
                  <c:v>1.5184538153283356E-3</c:v>
                </c:pt>
                <c:pt idx="69">
                  <c:v>1.2929189152717235E-3</c:v>
                </c:pt>
                <c:pt idx="70">
                  <c:v>1.0985493777226907E-3</c:v>
                </c:pt>
                <c:pt idx="71">
                  <c:v>9.3142856926498041E-4</c:v>
                </c:pt>
                <c:pt idx="72">
                  <c:v>7.8806838289180448E-4</c:v>
                </c:pt>
                <c:pt idx="73">
                  <c:v>6.6537268798549931E-4</c:v>
                </c:pt>
                <c:pt idx="74">
                  <c:v>5.6060215203634911E-4</c:v>
                </c:pt>
                <c:pt idx="75">
                  <c:v>4.713407445504636E-4</c:v>
                </c:pt>
                <c:pt idx="76">
                  <c:v>3.9546410499368822E-4</c:v>
                </c:pt>
                <c:pt idx="77">
                  <c:v>3.3110992841050121E-4</c:v>
                </c:pt>
                <c:pt idx="78">
                  <c:v>2.7665042425193418E-4</c:v>
                </c:pt>
                <c:pt idx="79">
                  <c:v>2.3066687738583063E-4</c:v>
                </c:pt>
                <c:pt idx="80">
                  <c:v>1.9192628840709205E-4</c:v>
                </c:pt>
              </c:numCache>
            </c:numRef>
          </c:yVal>
          <c:smooth val="1"/>
        </c:ser>
        <c:ser>
          <c:idx val="6"/>
          <c:order val="1"/>
          <c:tx>
            <c:v>EPM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1a'!$B$50:$B$130</c:f>
              <c:numCache>
                <c:formatCode>General</c:formatCode>
                <c:ptCount val="8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</c:numCache>
            </c:numRef>
          </c:xVal>
          <c:yVal>
            <c:numRef>
              <c:f>'model 1a'!$N$50:$N$130</c:f>
              <c:numCache>
                <c:formatCode>0.00</c:formatCode>
                <c:ptCount val="81"/>
                <c:pt idx="0">
                  <c:v>0</c:v>
                </c:pt>
                <c:pt idx="1">
                  <c:v>1.5267833852610414E-2</c:v>
                </c:pt>
                <c:pt idx="2">
                  <c:v>4.9952830829579811E-2</c:v>
                </c:pt>
                <c:pt idx="3">
                  <c:v>0.11147414611384107</c:v>
                </c:pt>
                <c:pt idx="4">
                  <c:v>0.20151547640111472</c:v>
                </c:pt>
                <c:pt idx="5">
                  <c:v>0.31215924106650383</c:v>
                </c:pt>
                <c:pt idx="6">
                  <c:v>0.42595485461067106</c:v>
                </c:pt>
                <c:pt idx="7">
                  <c:v>0.52099612623346847</c:v>
                </c:pt>
                <c:pt idx="8">
                  <c:v>0.57871734750167358</c:v>
                </c:pt>
                <c:pt idx="9">
                  <c:v>0.59018131773145821</c:v>
                </c:pt>
                <c:pt idx="10">
                  <c:v>0.55779787602589892</c:v>
                </c:pt>
                <c:pt idx="11">
                  <c:v>0.49250951812792809</c:v>
                </c:pt>
                <c:pt idx="12">
                  <c:v>0.40886605459531389</c:v>
                </c:pt>
                <c:pt idx="13">
                  <c:v>0.32062412576639504</c:v>
                </c:pt>
                <c:pt idx="14">
                  <c:v>0.23819304431295868</c:v>
                </c:pt>
                <c:pt idx="15">
                  <c:v>0.16788258394174846</c:v>
                </c:pt>
                <c:pt idx="16">
                  <c:v>0.11229981187865434</c:v>
                </c:pt>
                <c:pt idx="17">
                  <c:v>7.1270279554794827E-2</c:v>
                </c:pt>
                <c:pt idx="18">
                  <c:v>4.2885046536380096E-2</c:v>
                </c:pt>
                <c:pt idx="19">
                  <c:v>2.4447500833857171E-2</c:v>
                </c:pt>
                <c:pt idx="20">
                  <c:v>1.3193609392274952E-2</c:v>
                </c:pt>
                <c:pt idx="21">
                  <c:v>6.7358688628715163E-3</c:v>
                </c:pt>
                <c:pt idx="22">
                  <c:v>3.2513432601078197E-3</c:v>
                </c:pt>
                <c:pt idx="23">
                  <c:v>1.4830183162523956E-3</c:v>
                </c:pt>
                <c:pt idx="24">
                  <c:v>6.3892915095727608E-4</c:v>
                </c:pt>
                <c:pt idx="25">
                  <c:v>2.5990655586906542E-4</c:v>
                </c:pt>
                <c:pt idx="26">
                  <c:v>9.9792822009631867E-5</c:v>
                </c:pt>
                <c:pt idx="27">
                  <c:v>3.6155769725797134E-5</c:v>
                </c:pt>
                <c:pt idx="28">
                  <c:v>1.2357970896318691E-5</c:v>
                </c:pt>
                <c:pt idx="29">
                  <c:v>3.9839755769774259E-6</c:v>
                </c:pt>
                <c:pt idx="30">
                  <c:v>1.2111735627683599E-6</c:v>
                </c:pt>
                <c:pt idx="31">
                  <c:v>3.4717322884652527E-7</c:v>
                </c:pt>
                <c:pt idx="32">
                  <c:v>9.3815498379612774E-8</c:v>
                </c:pt>
                <c:pt idx="33">
                  <c:v>2.3896640163351508E-8</c:v>
                </c:pt>
                <c:pt idx="34">
                  <c:v>5.7369951092234613E-9</c:v>
                </c:pt>
                <c:pt idx="35">
                  <c:v>1.2979986229718187E-9</c:v>
                </c:pt>
                <c:pt idx="36">
                  <c:v>2.7673709254821878E-10</c:v>
                </c:pt>
                <c:pt idx="37">
                  <c:v>5.5594153611798632E-11</c:v>
                </c:pt>
                <c:pt idx="38">
                  <c:v>1.0522722898662486E-11</c:v>
                </c:pt>
                <c:pt idx="39">
                  <c:v>1.8764460115249147E-12</c:v>
                </c:pt>
                <c:pt idx="40">
                  <c:v>3.1522978946636502E-13</c:v>
                </c:pt>
                <c:pt idx="41">
                  <c:v>4.9885957353213005E-14</c:v>
                </c:pt>
                <c:pt idx="42">
                  <c:v>7.4364892624192333E-15</c:v>
                </c:pt>
                <c:pt idx="43">
                  <c:v>1.0441832398813872E-15</c:v>
                </c:pt>
                <c:pt idx="44">
                  <c:v>1.3809780073737508E-16</c:v>
                </c:pt>
                <c:pt idx="45">
                  <c:v>1.7202109355167079E-17</c:v>
                </c:pt>
                <c:pt idx="46">
                  <c:v>2.018117560750914E-18</c:v>
                </c:pt>
                <c:pt idx="47">
                  <c:v>2.2298062074004221E-19</c:v>
                </c:pt>
                <c:pt idx="48">
                  <c:v>2.3202288233535903E-20</c:v>
                </c:pt>
                <c:pt idx="49">
                  <c:v>2.2736606195299827E-21</c:v>
                </c:pt>
                <c:pt idx="50">
                  <c:v>2.0981693109924752E-22</c:v>
                </c:pt>
                <c:pt idx="51">
                  <c:v>1.8233297218832772E-23</c:v>
                </c:pt>
                <c:pt idx="52">
                  <c:v>1.4920731338812025E-24</c:v>
                </c:pt>
                <c:pt idx="53">
                  <c:v>1.1497576275831207E-25</c:v>
                </c:pt>
                <c:pt idx="54">
                  <c:v>8.342677128013395E-27</c:v>
                </c:pt>
                <c:pt idx="55">
                  <c:v>5.7000637869419477E-28</c:v>
                </c:pt>
                <c:pt idx="56">
                  <c:v>3.6670921561885078E-29</c:v>
                </c:pt>
                <c:pt idx="57">
                  <c:v>2.2213904408091966E-30</c:v>
                </c:pt>
                <c:pt idx="58">
                  <c:v>1.2670171419874453E-31</c:v>
                </c:pt>
                <c:pt idx="59">
                  <c:v>6.8043795915043186E-33</c:v>
                </c:pt>
                <c:pt idx="60">
                  <c:v>3.4406247704461126E-34</c:v>
                </c:pt>
                <c:pt idx="61">
                  <c:v>1.63803597604711E-35</c:v>
                </c:pt>
                <c:pt idx="62">
                  <c:v>7.342463849108582E-37</c:v>
                </c:pt>
                <c:pt idx="63">
                  <c:v>3.0987578814974316E-38</c:v>
                </c:pt>
                <c:pt idx="64">
                  <c:v>1.2312786993074286E-39</c:v>
                </c:pt>
                <c:pt idx="65">
                  <c:v>4.6062093374920413E-41</c:v>
                </c:pt>
                <c:pt idx="66">
                  <c:v>1.6223534295875871E-42</c:v>
                </c:pt>
                <c:pt idx="67">
                  <c:v>5.3796978713387818E-44</c:v>
                </c:pt>
                <c:pt idx="68">
                  <c:v>1.6794892562194293E-45</c:v>
                </c:pt>
                <c:pt idx="69">
                  <c:v>4.9362824171893812E-47</c:v>
                </c:pt>
                <c:pt idx="70">
                  <c:v>1.3659124314682759E-48</c:v>
                </c:pt>
                <c:pt idx="71">
                  <c:v>3.558300571063762E-50</c:v>
                </c:pt>
                <c:pt idx="72">
                  <c:v>8.7268254472505286E-52</c:v>
                </c:pt>
                <c:pt idx="73">
                  <c:v>2.0149345638239844E-53</c:v>
                </c:pt>
                <c:pt idx="74">
                  <c:v>4.3797956248580861E-55</c:v>
                </c:pt>
                <c:pt idx="75">
                  <c:v>8.9625656823552835E-57</c:v>
                </c:pt>
                <c:pt idx="76">
                  <c:v>1.7266087861766529E-58</c:v>
                </c:pt>
                <c:pt idx="77">
                  <c:v>3.1313832323360046E-60</c:v>
                </c:pt>
                <c:pt idx="78">
                  <c:v>5.3463436475765082E-62</c:v>
                </c:pt>
                <c:pt idx="79">
                  <c:v>8.5931755393506521E-64</c:v>
                </c:pt>
                <c:pt idx="80">
                  <c:v>1.3002430556049311E-65</c:v>
                </c:pt>
              </c:numCache>
            </c:numRef>
          </c:yVal>
          <c:smooth val="1"/>
        </c:ser>
        <c:ser>
          <c:idx val="1"/>
          <c:order val="2"/>
          <c:tx>
            <c:v>Diffusion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1a'!$B$50:$B$130</c:f>
              <c:numCache>
                <c:formatCode>General</c:formatCode>
                <c:ptCount val="8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</c:numCache>
            </c:numRef>
          </c:xVal>
          <c:yVal>
            <c:numRef>
              <c:f>'model 1a'!$P$50:$P$130</c:f>
              <c:numCache>
                <c:formatCode>0.00</c:formatCode>
                <c:ptCount val="81"/>
                <c:pt idx="0">
                  <c:v>0</c:v>
                </c:pt>
                <c:pt idx="1">
                  <c:v>0.11938853665883564</c:v>
                </c:pt>
                <c:pt idx="2">
                  <c:v>0.16600309925260137</c:v>
                </c:pt>
                <c:pt idx="3">
                  <c:v>0.13740684525629643</c:v>
                </c:pt>
                <c:pt idx="4">
                  <c:v>8.1549099521955659E-2</c:v>
                </c:pt>
                <c:pt idx="5">
                  <c:v>3.7334416214384492E-2</c:v>
                </c:pt>
                <c:pt idx="6">
                  <c:v>1.3773872930289643E-2</c:v>
                </c:pt>
                <c:pt idx="7">
                  <c:v>4.2136035405819783E-3</c:v>
                </c:pt>
                <c:pt idx="8">
                  <c:v>1.086975559609904E-3</c:v>
                </c:pt>
                <c:pt idx="9">
                  <c:v>2.3835999857038339E-4</c:v>
                </c:pt>
                <c:pt idx="10">
                  <c:v>4.4549326581253749E-5</c:v>
                </c:pt>
                <c:pt idx="11">
                  <c:v>7.0976942511919591E-6</c:v>
                </c:pt>
                <c:pt idx="12">
                  <c:v>9.6335283545812165E-7</c:v>
                </c:pt>
                <c:pt idx="13">
                  <c:v>1.1130499452056477E-7</c:v>
                </c:pt>
                <c:pt idx="14">
                  <c:v>1.0939731204219544E-8</c:v>
                </c:pt>
                <c:pt idx="15">
                  <c:v>9.1412983611740429E-10</c:v>
                </c:pt>
                <c:pt idx="16">
                  <c:v>6.4909012132801621E-11</c:v>
                </c:pt>
                <c:pt idx="17">
                  <c:v>3.9148719044693051E-12</c:v>
                </c:pt>
                <c:pt idx="18">
                  <c:v>2.0048960802775663E-13</c:v>
                </c:pt>
                <c:pt idx="19">
                  <c:v>8.7155762758738703E-15</c:v>
                </c:pt>
                <c:pt idx="20">
                  <c:v>3.2152627273870448E-16</c:v>
                </c:pt>
                <c:pt idx="21">
                  <c:v>1.0063616346648303E-17</c:v>
                </c:pt>
                <c:pt idx="22">
                  <c:v>2.6719144575874592E-19</c:v>
                </c:pt>
                <c:pt idx="23">
                  <c:v>6.0165293340531243E-21</c:v>
                </c:pt>
                <c:pt idx="24">
                  <c:v>1.1488347954121904E-22</c:v>
                </c:pt>
                <c:pt idx="25">
                  <c:v>1.8599351718597377E-24</c:v>
                </c:pt>
                <c:pt idx="26">
                  <c:v>2.5527826991408096E-26</c:v>
                </c:pt>
                <c:pt idx="27">
                  <c:v>2.9700135600147092E-28</c:v>
                </c:pt>
                <c:pt idx="28">
                  <c:v>2.9287960823008898E-30</c:v>
                </c:pt>
                <c:pt idx="29">
                  <c:v>2.4477538655813285E-32</c:v>
                </c:pt>
                <c:pt idx="30">
                  <c:v>1.7336432457176281E-34</c:v>
                </c:pt>
                <c:pt idx="31">
                  <c:v>1.0404801339497357E-36</c:v>
                </c:pt>
                <c:pt idx="32">
                  <c:v>5.291288801542319E-39</c:v>
                </c:pt>
                <c:pt idx="33">
                  <c:v>2.2799052758383861E-41</c:v>
                </c:pt>
                <c:pt idx="34">
                  <c:v>8.322926945653215E-44</c:v>
                </c:pt>
                <c:pt idx="35">
                  <c:v>2.5740534649585965E-46</c:v>
                </c:pt>
                <c:pt idx="36">
                  <c:v>6.7440576522383374E-49</c:v>
                </c:pt>
                <c:pt idx="37">
                  <c:v>1.4968174169553446E-51</c:v>
                </c:pt>
                <c:pt idx="38">
                  <c:v>2.8141241858526893E-54</c:v>
                </c:pt>
                <c:pt idx="39">
                  <c:v>4.4815565485180355E-57</c:v>
                </c:pt>
                <c:pt idx="40">
                  <c:v>6.0452068200839633E-60</c:v>
                </c:pt>
                <c:pt idx="41">
                  <c:v>6.9067958965394441E-63</c:v>
                </c:pt>
                <c:pt idx="42">
                  <c:v>6.6836349250241503E-66</c:v>
                </c:pt>
                <c:pt idx="43">
                  <c:v>5.4778202943481182E-69</c:v>
                </c:pt>
                <c:pt idx="44">
                  <c:v>3.8023397073295229E-72</c:v>
                </c:pt>
                <c:pt idx="45">
                  <c:v>2.2352800840587441E-75</c:v>
                </c:pt>
                <c:pt idx="46">
                  <c:v>1.1128621297825542E-78</c:v>
                </c:pt>
                <c:pt idx="47">
                  <c:v>4.692132231150378E-82</c:v>
                </c:pt>
                <c:pt idx="48">
                  <c:v>1.6753680110729035E-85</c:v>
                </c:pt>
                <c:pt idx="49">
                  <c:v>5.0658629135270944E-89</c:v>
                </c:pt>
                <c:pt idx="50">
                  <c:v>1.297156850109088E-92</c:v>
                </c:pt>
                <c:pt idx="51">
                  <c:v>2.8126807328195969E-96</c:v>
                </c:pt>
                <c:pt idx="52">
                  <c:v>5.1645288108371542E-100</c:v>
                </c:pt>
                <c:pt idx="53">
                  <c:v>8.0300287057553974E-104</c:v>
                </c:pt>
                <c:pt idx="54">
                  <c:v>1.0572404359164332E-107</c:v>
                </c:pt>
                <c:pt idx="55">
                  <c:v>1.1786779808079717E-111</c:v>
                </c:pt>
                <c:pt idx="56">
                  <c:v>1.1126948359405998E-115</c:v>
                </c:pt>
                <c:pt idx="57">
                  <c:v>8.8942944723471672E-120</c:v>
                </c:pt>
                <c:pt idx="58">
                  <c:v>6.0200036298170205E-124</c:v>
                </c:pt>
                <c:pt idx="59">
                  <c:v>3.4500655480808022E-128</c:v>
                </c:pt>
                <c:pt idx="60">
                  <c:v>1.6741679846925503E-132</c:v>
                </c:pt>
                <c:pt idx="61">
                  <c:v>6.8787221721859189E-137</c:v>
                </c:pt>
                <c:pt idx="62">
                  <c:v>2.3930386165621811E-141</c:v>
                </c:pt>
                <c:pt idx="63">
                  <c:v>7.0488972628283094E-146</c:v>
                </c:pt>
                <c:pt idx="64">
                  <c:v>1.7579992922704682E-150</c:v>
                </c:pt>
                <c:pt idx="65">
                  <c:v>3.7122645503879358E-155</c:v>
                </c:pt>
                <c:pt idx="66">
                  <c:v>6.6371046370501051E-160</c:v>
                </c:pt>
                <c:pt idx="67">
                  <c:v>1.0046965109692149E-164</c:v>
                </c:pt>
                <c:pt idx="68">
                  <c:v>1.2876703611891918E-169</c:v>
                </c:pt>
                <c:pt idx="69">
                  <c:v>1.3972859737359435E-174</c:v>
                </c:pt>
                <c:pt idx="70">
                  <c:v>1.283731008928124E-179</c:v>
                </c:pt>
                <c:pt idx="71">
                  <c:v>9.9854662070569642E-185</c:v>
                </c:pt>
                <c:pt idx="72">
                  <c:v>6.5760604776185541E-190</c:v>
                </c:pt>
                <c:pt idx="73">
                  <c:v>3.6666043123726805E-195</c:v>
                </c:pt>
                <c:pt idx="74">
                  <c:v>1.7308555939016276E-200</c:v>
                </c:pt>
                <c:pt idx="75">
                  <c:v>6.9175771682662907E-206</c:v>
                </c:pt>
                <c:pt idx="76">
                  <c:v>2.3406770681346322E-211</c:v>
                </c:pt>
                <c:pt idx="77">
                  <c:v>6.7053477454943264E-217</c:v>
                </c:pt>
                <c:pt idx="78">
                  <c:v>1.626265734885646E-222</c:v>
                </c:pt>
                <c:pt idx="79">
                  <c:v>3.3392602959576919E-228</c:v>
                </c:pt>
                <c:pt idx="80">
                  <c:v>5.8049143570944524E-234</c:v>
                </c:pt>
              </c:numCache>
            </c:numRef>
          </c:yVal>
          <c:smooth val="1"/>
        </c:ser>
        <c:ser>
          <c:idx val="2"/>
          <c:order val="3"/>
          <c:tx>
            <c:v>1st order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xVal>
            <c:numRef>
              <c:f>'model 1a'!$B$50:$B$130</c:f>
              <c:numCache>
                <c:formatCode>General</c:formatCode>
                <c:ptCount val="8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</c:numCache>
            </c:numRef>
          </c:xVal>
          <c:yVal>
            <c:numRef>
              <c:f>'model 1a'!$Q$50:$Q$130</c:f>
              <c:numCache>
                <c:formatCode>0.00</c:formatCode>
                <c:ptCount val="81"/>
              </c:numCache>
            </c:numRef>
          </c:yVal>
          <c:smooth val="1"/>
        </c:ser>
        <c:axId val="105448192"/>
        <c:axId val="105450112"/>
      </c:scatterChart>
      <c:valAx>
        <c:axId val="105448192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(years)</a:t>
                </a:r>
              </a:p>
            </c:rich>
          </c:tx>
          <c:layout>
            <c:manualLayout>
              <c:xMode val="edge"/>
              <c:yMode val="edge"/>
              <c:x val="0.31761660074180947"/>
              <c:y val="0.9396789463817036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5450112"/>
        <c:crosses val="autoZero"/>
        <c:crossBetween val="midCat"/>
      </c:valAx>
      <c:valAx>
        <c:axId val="105450112"/>
        <c:scaling>
          <c:orientation val="minMax"/>
          <c:min val="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(mg/L)</a:t>
                </a:r>
              </a:p>
            </c:rich>
          </c:tx>
          <c:layout>
            <c:manualLayout>
              <c:xMode val="edge"/>
              <c:yMode val="edge"/>
              <c:x val="3.9996056830924304E-2"/>
              <c:y val="0.3979023715785539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5448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59777132163757"/>
          <c:y val="0.34169447188017982"/>
          <c:w val="0.17240421011401086"/>
          <c:h val="0.2585240907386583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>
        <c:manualLayout>
          <c:layoutTarget val="inner"/>
          <c:xMode val="edge"/>
          <c:yMode val="edge"/>
          <c:x val="0.13806989049830523"/>
          <c:y val="0.15097208579869892"/>
          <c:w val="0.61016169802291331"/>
          <c:h val="0.79316677912152056"/>
        </c:manualLayout>
      </c:layout>
      <c:scatterChart>
        <c:scatterStyle val="smoothMarker"/>
        <c:ser>
          <c:idx val="0"/>
          <c:order val="0"/>
          <c:tx>
            <c:v>fracture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'model 1a'!$E$50:$E$130</c:f>
              <c:numCache>
                <c:formatCode>0.00</c:formatCode>
                <c:ptCount val="81"/>
                <c:pt idx="0">
                  <c:v>0</c:v>
                </c:pt>
                <c:pt idx="1">
                  <c:v>1.5377890979005659E-2</c:v>
                </c:pt>
                <c:pt idx="2">
                  <c:v>3.060914981941254E-2</c:v>
                </c:pt>
                <c:pt idx="3">
                  <c:v>4.5549132275749082E-2</c:v>
                </c:pt>
                <c:pt idx="4">
                  <c:v>6.0057984650317087E-2</c:v>
                </c:pt>
                <c:pt idx="5">
                  <c:v>7.4002903323827196E-2</c:v>
                </c:pt>
                <c:pt idx="6">
                  <c:v>8.7260227516350319E-2</c:v>
                </c:pt>
                <c:pt idx="7">
                  <c:v>9.9717317739435929E-2</c:v>
                </c:pt>
                <c:pt idx="8">
                  <c:v>0.111274179043928</c:v>
                </c:pt>
                <c:pt idx="9">
                  <c:v>0.12184479597783526</c:v>
                </c:pt>
                <c:pt idx="10">
                  <c:v>0.13135815484553537</c:v>
                </c:pt>
                <c:pt idx="11">
                  <c:v>0.1397589380772335</c:v>
                </c:pt>
                <c:pt idx="12">
                  <c:v>0.14700788493689521</c:v>
                </c:pt>
                <c:pt idx="13">
                  <c:v>0.15308182208126664</c:v>
                </c:pt>
                <c:pt idx="14">
                  <c:v>0.15797337631219688</c:v>
                </c:pt>
                <c:pt idx="15">
                  <c:v>0.16169038994941309</c:v>
                </c:pt>
                <c:pt idx="16">
                  <c:v>0.16425506634232234</c:v>
                </c:pt>
                <c:pt idx="17">
                  <c:v>0.16570287893846558</c:v>
                </c:pt>
                <c:pt idx="18">
                  <c:v>0.16608128188997728</c:v>
                </c:pt>
                <c:pt idx="19">
                  <c:v>0.1654482633240062</c:v>
                </c:pt>
                <c:pt idx="20">
                  <c:v>0.16387078410398437</c:v>
                </c:pt>
                <c:pt idx="21">
                  <c:v>0.16142314519827416</c:v>
                </c:pt>
                <c:pt idx="22">
                  <c:v>0.15818532573500321</c:v>
                </c:pt>
                <c:pt idx="23">
                  <c:v>0.15424133158569786</c:v>
                </c:pt>
                <c:pt idx="24">
                  <c:v>0.149677591050426</c:v>
                </c:pt>
                <c:pt idx="25">
                  <c:v>0.14458143010488844</c:v>
                </c:pt>
                <c:pt idx="26">
                  <c:v>0.13903965492295578</c:v>
                </c:pt>
                <c:pt idx="27">
                  <c:v>0.13313726422045402</c:v>
                </c:pt>
                <c:pt idx="28">
                  <c:v>0.12695630858863716</c:v>
                </c:pt>
                <c:pt idx="29">
                  <c:v>0.12057490859801945</c:v>
                </c:pt>
                <c:pt idx="30">
                  <c:v>0.11406643823589802</c:v>
                </c:pt>
                <c:pt idx="31">
                  <c:v>0.10749887535040981</c:v>
                </c:pt>
                <c:pt idx="32">
                  <c:v>0.10093431633865535</c:v>
                </c:pt>
                <c:pt idx="33">
                  <c:v>9.4428648434054185E-2</c:v>
                </c:pt>
                <c:pt idx="34">
                  <c:v>8.8031369685404259E-2</c:v>
                </c:pt>
                <c:pt idx="35">
                  <c:v>8.1785544113552211E-2</c:v>
                </c:pt>
                <c:pt idx="36">
                  <c:v>7.5727877589237824E-2</c:v>
                </c:pt>
                <c:pt idx="37">
                  <c:v>6.9888898680661171E-2</c:v>
                </c:pt>
                <c:pt idx="38">
                  <c:v>6.4293228033256433E-2</c:v>
                </c:pt>
                <c:pt idx="39">
                  <c:v>5.8959919711605968E-2</c:v>
                </c:pt>
                <c:pt idx="40">
                  <c:v>5.3902858286344779E-2</c:v>
                </c:pt>
                <c:pt idx="41">
                  <c:v>4.9131196210955741E-2</c:v>
                </c:pt>
                <c:pt idx="42">
                  <c:v>4.4649817124231106E-2</c:v>
                </c:pt>
                <c:pt idx="43">
                  <c:v>4.0459812053100119E-2</c:v>
                </c:pt>
                <c:pt idx="44">
                  <c:v>3.6558956999800607E-2</c:v>
                </c:pt>
                <c:pt idx="45">
                  <c:v>3.2942182004706E-2</c:v>
                </c:pt>
                <c:pt idx="46">
                  <c:v>2.9602023416710477E-2</c:v>
                </c:pt>
                <c:pt idx="47">
                  <c:v>2.6529052721087742E-2</c:v>
                </c:pt>
                <c:pt idx="48">
                  <c:v>2.3712276823792733E-2</c:v>
                </c:pt>
                <c:pt idx="49">
                  <c:v>2.1139506134797648E-2</c:v>
                </c:pt>
                <c:pt idx="50">
                  <c:v>1.8797688104520205E-2</c:v>
                </c:pt>
                <c:pt idx="51">
                  <c:v>1.667320502858316E-2</c:v>
                </c:pt>
                <c:pt idx="52">
                  <c:v>1.4752135937646571E-2</c:v>
                </c:pt>
                <c:pt idx="53">
                  <c:v>1.3020483227986768E-2</c:v>
                </c:pt>
                <c:pt idx="54">
                  <c:v>1.1464365368262674E-2</c:v>
                </c:pt>
                <c:pt idx="55">
                  <c:v>1.0070177546559034E-2</c:v>
                </c:pt>
                <c:pt idx="56">
                  <c:v>8.8247225107265237E-3</c:v>
                </c:pt>
                <c:pt idx="57">
                  <c:v>7.7153141184203022E-3</c:v>
                </c:pt>
                <c:pt idx="58">
                  <c:v>6.7298562665341066E-3</c:v>
                </c:pt>
                <c:pt idx="59">
                  <c:v>5.8568999289234647E-3</c:v>
                </c:pt>
                <c:pt idx="60">
                  <c:v>5.0856810126493901E-3</c:v>
                </c:pt>
                <c:pt idx="61">
                  <c:v>4.4061416615843729E-3</c:v>
                </c:pt>
                <c:pt idx="62">
                  <c:v>3.8089375068430797E-3</c:v>
                </c:pt>
                <c:pt idx="63">
                  <c:v>3.285433198286114E-3</c:v>
                </c:pt>
                <c:pt idx="64">
                  <c:v>2.8276883630180549E-3</c:v>
                </c:pt>
                <c:pt idx="65">
                  <c:v>2.4284359337651829E-3</c:v>
                </c:pt>
                <c:pt idx="66">
                  <c:v>2.0810545812572911E-3</c:v>
                </c:pt>
                <c:pt idx="67">
                  <c:v>1.7795367776722859E-3</c:v>
                </c:pt>
                <c:pt idx="68">
                  <c:v>1.5184538153283356E-3</c:v>
                </c:pt>
                <c:pt idx="69">
                  <c:v>1.2929189152717235E-3</c:v>
                </c:pt>
                <c:pt idx="70">
                  <c:v>1.0985493777226907E-3</c:v>
                </c:pt>
                <c:pt idx="71">
                  <c:v>9.3142856926498041E-4</c:v>
                </c:pt>
                <c:pt idx="72">
                  <c:v>7.8806838289180448E-4</c:v>
                </c:pt>
                <c:pt idx="73">
                  <c:v>6.6537268798549931E-4</c:v>
                </c:pt>
                <c:pt idx="74">
                  <c:v>5.6060215203634911E-4</c:v>
                </c:pt>
                <c:pt idx="75">
                  <c:v>4.713407445504636E-4</c:v>
                </c:pt>
                <c:pt idx="76">
                  <c:v>3.9546410499368822E-4</c:v>
                </c:pt>
                <c:pt idx="77">
                  <c:v>3.3110992841050121E-4</c:v>
                </c:pt>
                <c:pt idx="78">
                  <c:v>2.7665042425193418E-4</c:v>
                </c:pt>
                <c:pt idx="79">
                  <c:v>2.3066687738583063E-4</c:v>
                </c:pt>
                <c:pt idx="80">
                  <c:v>1.9192628840709205E-4</c:v>
                </c:pt>
              </c:numCache>
            </c:numRef>
          </c:xVal>
          <c:yVal>
            <c:numRef>
              <c:f>'model 1a'!$A$50:$A$130</c:f>
              <c:numCache>
                <c:formatCode>General</c:formatCode>
                <c:ptCount val="8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  <c:pt idx="21">
                  <c:v>4.2000000000000011</c:v>
                </c:pt>
                <c:pt idx="22">
                  <c:v>4.4000000000000012</c:v>
                </c:pt>
                <c:pt idx="23">
                  <c:v>4.6000000000000014</c:v>
                </c:pt>
                <c:pt idx="24">
                  <c:v>4.8000000000000016</c:v>
                </c:pt>
                <c:pt idx="25">
                  <c:v>5.0000000000000018</c:v>
                </c:pt>
                <c:pt idx="26">
                  <c:v>5.200000000000002</c:v>
                </c:pt>
                <c:pt idx="27">
                  <c:v>5.4000000000000021</c:v>
                </c:pt>
                <c:pt idx="28">
                  <c:v>5.6000000000000023</c:v>
                </c:pt>
                <c:pt idx="29">
                  <c:v>5.8000000000000025</c:v>
                </c:pt>
                <c:pt idx="30">
                  <c:v>6.0000000000000027</c:v>
                </c:pt>
                <c:pt idx="31">
                  <c:v>6.2000000000000028</c:v>
                </c:pt>
                <c:pt idx="32">
                  <c:v>6.400000000000003</c:v>
                </c:pt>
                <c:pt idx="33">
                  <c:v>6.6000000000000032</c:v>
                </c:pt>
                <c:pt idx="34">
                  <c:v>6.8000000000000034</c:v>
                </c:pt>
                <c:pt idx="35">
                  <c:v>7.0000000000000036</c:v>
                </c:pt>
                <c:pt idx="36">
                  <c:v>7.2000000000000037</c:v>
                </c:pt>
                <c:pt idx="37">
                  <c:v>7.4000000000000039</c:v>
                </c:pt>
                <c:pt idx="38">
                  <c:v>7.6000000000000041</c:v>
                </c:pt>
                <c:pt idx="39">
                  <c:v>7.8000000000000043</c:v>
                </c:pt>
                <c:pt idx="40">
                  <c:v>8.0000000000000036</c:v>
                </c:pt>
                <c:pt idx="41">
                  <c:v>8.2000000000000028</c:v>
                </c:pt>
                <c:pt idx="42">
                  <c:v>8.4000000000000021</c:v>
                </c:pt>
                <c:pt idx="43">
                  <c:v>8.6000000000000014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9.3999999999999986</c:v>
                </c:pt>
                <c:pt idx="48">
                  <c:v>9.5999999999999979</c:v>
                </c:pt>
                <c:pt idx="49">
                  <c:v>9.7999999999999972</c:v>
                </c:pt>
                <c:pt idx="50">
                  <c:v>9.9999999999999964</c:v>
                </c:pt>
                <c:pt idx="51">
                  <c:v>10.199999999999996</c:v>
                </c:pt>
                <c:pt idx="52">
                  <c:v>10.399999999999995</c:v>
                </c:pt>
                <c:pt idx="53">
                  <c:v>10.599999999999994</c:v>
                </c:pt>
                <c:pt idx="54">
                  <c:v>10.799999999999994</c:v>
                </c:pt>
                <c:pt idx="55">
                  <c:v>10.999999999999993</c:v>
                </c:pt>
                <c:pt idx="56">
                  <c:v>11.199999999999992</c:v>
                </c:pt>
                <c:pt idx="57">
                  <c:v>11.399999999999991</c:v>
                </c:pt>
                <c:pt idx="58">
                  <c:v>11.599999999999991</c:v>
                </c:pt>
                <c:pt idx="59">
                  <c:v>11.79999999999999</c:v>
                </c:pt>
                <c:pt idx="60">
                  <c:v>11.999999999999989</c:v>
                </c:pt>
                <c:pt idx="61">
                  <c:v>12.199999999999989</c:v>
                </c:pt>
                <c:pt idx="62">
                  <c:v>12.399999999999988</c:v>
                </c:pt>
                <c:pt idx="63">
                  <c:v>12.599999999999987</c:v>
                </c:pt>
                <c:pt idx="64">
                  <c:v>12.799999999999986</c:v>
                </c:pt>
                <c:pt idx="65">
                  <c:v>12.999999999999986</c:v>
                </c:pt>
                <c:pt idx="66">
                  <c:v>13.199999999999985</c:v>
                </c:pt>
                <c:pt idx="67">
                  <c:v>13.399999999999984</c:v>
                </c:pt>
                <c:pt idx="68">
                  <c:v>13.599999999999984</c:v>
                </c:pt>
                <c:pt idx="69">
                  <c:v>13.799999999999983</c:v>
                </c:pt>
                <c:pt idx="70">
                  <c:v>13.999999999999982</c:v>
                </c:pt>
                <c:pt idx="71">
                  <c:v>14.199999999999982</c:v>
                </c:pt>
                <c:pt idx="72">
                  <c:v>14.399999999999981</c:v>
                </c:pt>
                <c:pt idx="73">
                  <c:v>14.59999999999998</c:v>
                </c:pt>
                <c:pt idx="74">
                  <c:v>14.799999999999979</c:v>
                </c:pt>
                <c:pt idx="75">
                  <c:v>14.999999999999979</c:v>
                </c:pt>
                <c:pt idx="76">
                  <c:v>15.199999999999978</c:v>
                </c:pt>
                <c:pt idx="77">
                  <c:v>15.399999999999977</c:v>
                </c:pt>
                <c:pt idx="78">
                  <c:v>15.599999999999977</c:v>
                </c:pt>
                <c:pt idx="79">
                  <c:v>15.799999999999976</c:v>
                </c:pt>
                <c:pt idx="80">
                  <c:v>15.999999999999975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'model 1a'!$F$49</c:f>
              <c:strCache>
                <c:ptCount val="1"/>
                <c:pt idx="0">
                  <c:v>0.1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1a'!$F$50:$F$130</c:f>
              <c:numCache>
                <c:formatCode>0.00</c:formatCode>
                <c:ptCount val="81"/>
                <c:pt idx="0">
                  <c:v>6.5426493701378652E-2</c:v>
                </c:pt>
                <c:pt idx="1">
                  <c:v>7.9123370732833154E-2</c:v>
                </c:pt>
                <c:pt idx="2">
                  <c:v>9.2088532669536205E-2</c:v>
                </c:pt>
                <c:pt idx="3">
                  <c:v>0.10421397840451951</c:v>
                </c:pt>
                <c:pt idx="4">
                  <c:v>0.11540489222411998</c:v>
                </c:pt>
                <c:pt idx="5">
                  <c:v>0.12558086219082076</c:v>
                </c:pt>
                <c:pt idx="6">
                  <c:v>0.13467677901031716</c:v>
                </c:pt>
                <c:pt idx="7">
                  <c:v>0.14264340376620321</c:v>
                </c:pt>
                <c:pt idx="8">
                  <c:v>0.14944760231063769</c:v>
                </c:pt>
                <c:pt idx="9">
                  <c:v>0.15507225324525686</c:v>
                </c:pt>
                <c:pt idx="10">
                  <c:v>0.15951584500362914</c:v>
                </c:pt>
                <c:pt idx="11">
                  <c:v>0.16279178527921645</c:v>
                </c:pt>
                <c:pt idx="12">
                  <c:v>0.16492745270052356</c:v>
                </c:pt>
                <c:pt idx="13">
                  <c:v>0.16596302605961988</c:v>
                </c:pt>
                <c:pt idx="14">
                  <c:v>0.16595013043093632</c:v>
                </c:pt>
                <c:pt idx="15">
                  <c:v>0.16495034211295501</c:v>
                </c:pt>
                <c:pt idx="16">
                  <c:v>0.16303359548366614</c:v>
                </c:pt>
                <c:pt idx="17">
                  <c:v>0.16027653463403513</c:v>
                </c:pt>
                <c:pt idx="18">
                  <c:v>0.15676085113421068</c:v>
                </c:pt>
                <c:pt idx="19">
                  <c:v>0.15257164663823963</c:v>
                </c:pt>
                <c:pt idx="20">
                  <c:v>0.14779585542067375</c:v>
                </c:pt>
                <c:pt idx="21">
                  <c:v>0.14252075756136584</c:v>
                </c:pt>
                <c:pt idx="22">
                  <c:v>0.13683260856401214</c:v>
                </c:pt>
                <c:pt idx="23">
                  <c:v>0.13081540592360108</c:v>
                </c:pt>
                <c:pt idx="24">
                  <c:v>0.12454980775519564</c:v>
                </c:pt>
                <c:pt idx="25">
                  <c:v>0.11811221325450338</c:v>
                </c:pt>
                <c:pt idx="26">
                  <c:v>0.11157400965151387</c:v>
                </c:pt>
                <c:pt idx="27">
                  <c:v>0.10500098558821502</c:v>
                </c:pt>
                <c:pt idx="28">
                  <c:v>9.8452906616904645E-2</c:v>
                </c:pt>
                <c:pt idx="29">
                  <c:v>9.1983244862916091E-2</c:v>
                </c:pt>
                <c:pt idx="30">
                  <c:v>8.563905187964127E-2</c:v>
                </c:pt>
                <c:pt idx="31">
                  <c:v>7.9460961370059868E-2</c:v>
                </c:pt>
                <c:pt idx="32">
                  <c:v>7.3483306755687483E-2</c:v>
                </c:pt>
                <c:pt idx="33">
                  <c:v>6.7734337515493293E-2</c:v>
                </c:pt>
                <c:pt idx="34">
                  <c:v>6.2236517748551323E-2</c:v>
                </c:pt>
                <c:pt idx="35">
                  <c:v>5.7006890474172511E-2</c:v>
                </c:pt>
                <c:pt idx="36">
                  <c:v>5.2057491700500336E-2</c:v>
                </c:pt>
                <c:pt idx="37">
                  <c:v>4.7395799188558296E-2</c:v>
                </c:pt>
                <c:pt idx="38">
                  <c:v>4.3025202032785703E-2</c:v>
                </c:pt>
                <c:pt idx="39">
                  <c:v>3.8945478591190907E-2</c:v>
                </c:pt>
                <c:pt idx="40">
                  <c:v>3.515327185248851E-2</c:v>
                </c:pt>
                <c:pt idx="41">
                  <c:v>3.1642552954317615E-2</c:v>
                </c:pt>
                <c:pt idx="42">
                  <c:v>2.8405065204430091E-2</c:v>
                </c:pt>
                <c:pt idx="43">
                  <c:v>2.5430742553155916E-2</c:v>
                </c:pt>
                <c:pt idx="44">
                  <c:v>2.2708097978034081E-2</c:v>
                </c:pt>
                <c:pt idx="45">
                  <c:v>2.0224578637380919E-2</c:v>
                </c:pt>
                <c:pt idx="46">
                  <c:v>1.7966885905510654E-2</c:v>
                </c:pt>
                <c:pt idx="47">
                  <c:v>1.5921259503478336E-2</c:v>
                </c:pt>
                <c:pt idx="48">
                  <c:v>1.4073725878940069E-2</c:v>
                </c:pt>
                <c:pt idx="49">
                  <c:v>1.2410311766507753E-2</c:v>
                </c:pt>
                <c:pt idx="50">
                  <c:v>1.0917224481250543E-2</c:v>
                </c:pt>
                <c:pt idx="51">
                  <c:v>9.5810009720671552E-3</c:v>
                </c:pt>
                <c:pt idx="52">
                  <c:v>8.3886280013196757E-3</c:v>
                </c:pt>
                <c:pt idx="53">
                  <c:v>7.3276360367218185E-3</c:v>
                </c:pt>
                <c:pt idx="54">
                  <c:v>6.386169557379473E-3</c:v>
                </c:pt>
                <c:pt idx="55">
                  <c:v>5.5530365036622342E-3</c:v>
                </c:pt>
                <c:pt idx="56">
                  <c:v>4.8177395563324676E-3</c:v>
                </c:pt>
                <c:pt idx="57">
                  <c:v>4.1704918295197846E-3</c:v>
                </c:pt>
                <c:pt idx="58">
                  <c:v>3.6022194170399757E-3</c:v>
                </c:pt>
                <c:pt idx="59">
                  <c:v>3.1045530575459779E-3</c:v>
                </c:pt>
                <c:pt idx="60">
                  <c:v>2.6698109877956178E-3</c:v>
                </c:pt>
                <c:pt idx="61">
                  <c:v>2.2909748480433034E-3</c:v>
                </c:pt>
                <c:pt idx="62">
                  <c:v>1.9616602949226181E-3</c:v>
                </c:pt>
                <c:pt idx="63">
                  <c:v>1.6760837703089226E-3</c:v>
                </c:pt>
                <c:pt idx="64">
                  <c:v>1.4290266774044103E-3</c:v>
                </c:pt>
                <c:pt idx="65">
                  <c:v>1.215798027579984E-3</c:v>
                </c:pt>
                <c:pt idx="66">
                  <c:v>1.0321964495003666E-3</c:v>
                </c:pt>
                <c:pt idx="67">
                  <c:v>8.7447228987236336E-4</c:v>
                </c:pt>
                <c:pt idx="68">
                  <c:v>7.3929040173292826E-4</c:v>
                </c:pt>
                <c:pt idx="69">
                  <c:v>6.2369407439000213E-4</c:v>
                </c:pt>
                <c:pt idx="70">
                  <c:v>5.2507046979610728E-4</c:v>
                </c:pt>
                <c:pt idx="71">
                  <c:v>4.4111781464728494E-4</c:v>
                </c:pt>
                <c:pt idx="72">
                  <c:v>3.698145230430004E-4</c:v>
                </c:pt>
                <c:pt idx="73">
                  <c:v>3.0939036374734392E-4</c:v>
                </c:pt>
                <c:pt idx="74">
                  <c:v>2.5829972166885372E-4</c:v>
                </c:pt>
                <c:pt idx="75">
                  <c:v>2.151969500394869E-4</c:v>
                </c:pt>
                <c:pt idx="76">
                  <c:v>1.7891378950345594E-4</c:v>
                </c:pt>
                <c:pt idx="77">
                  <c:v>1.4843878881328293E-4</c:v>
                </c:pt>
                <c:pt idx="78">
                  <c:v>1.2289864489206924E-4</c:v>
                </c:pt>
                <c:pt idx="79">
                  <c:v>1.015413633880357E-4</c:v>
                </c:pt>
                <c:pt idx="80">
                  <c:v>8.3721130554793505E-5</c:v>
                </c:pt>
              </c:numCache>
            </c:numRef>
          </c:xVal>
          <c:yVal>
            <c:numRef>
              <c:f>'model 1a'!$A$50:$A$130</c:f>
              <c:numCache>
                <c:formatCode>General</c:formatCode>
                <c:ptCount val="8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  <c:pt idx="21">
                  <c:v>4.2000000000000011</c:v>
                </c:pt>
                <c:pt idx="22">
                  <c:v>4.4000000000000012</c:v>
                </c:pt>
                <c:pt idx="23">
                  <c:v>4.6000000000000014</c:v>
                </c:pt>
                <c:pt idx="24">
                  <c:v>4.8000000000000016</c:v>
                </c:pt>
                <c:pt idx="25">
                  <c:v>5.0000000000000018</c:v>
                </c:pt>
                <c:pt idx="26">
                  <c:v>5.200000000000002</c:v>
                </c:pt>
                <c:pt idx="27">
                  <c:v>5.4000000000000021</c:v>
                </c:pt>
                <c:pt idx="28">
                  <c:v>5.6000000000000023</c:v>
                </c:pt>
                <c:pt idx="29">
                  <c:v>5.8000000000000025</c:v>
                </c:pt>
                <c:pt idx="30">
                  <c:v>6.0000000000000027</c:v>
                </c:pt>
                <c:pt idx="31">
                  <c:v>6.2000000000000028</c:v>
                </c:pt>
                <c:pt idx="32">
                  <c:v>6.400000000000003</c:v>
                </c:pt>
                <c:pt idx="33">
                  <c:v>6.6000000000000032</c:v>
                </c:pt>
                <c:pt idx="34">
                  <c:v>6.8000000000000034</c:v>
                </c:pt>
                <c:pt idx="35">
                  <c:v>7.0000000000000036</c:v>
                </c:pt>
                <c:pt idx="36">
                  <c:v>7.2000000000000037</c:v>
                </c:pt>
                <c:pt idx="37">
                  <c:v>7.4000000000000039</c:v>
                </c:pt>
                <c:pt idx="38">
                  <c:v>7.6000000000000041</c:v>
                </c:pt>
                <c:pt idx="39">
                  <c:v>7.8000000000000043</c:v>
                </c:pt>
                <c:pt idx="40">
                  <c:v>8.0000000000000036</c:v>
                </c:pt>
                <c:pt idx="41">
                  <c:v>8.2000000000000028</c:v>
                </c:pt>
                <c:pt idx="42">
                  <c:v>8.4000000000000021</c:v>
                </c:pt>
                <c:pt idx="43">
                  <c:v>8.6000000000000014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9.3999999999999986</c:v>
                </c:pt>
                <c:pt idx="48">
                  <c:v>9.5999999999999979</c:v>
                </c:pt>
                <c:pt idx="49">
                  <c:v>9.7999999999999972</c:v>
                </c:pt>
                <c:pt idx="50">
                  <c:v>9.9999999999999964</c:v>
                </c:pt>
                <c:pt idx="51">
                  <c:v>10.199999999999996</c:v>
                </c:pt>
                <c:pt idx="52">
                  <c:v>10.399999999999995</c:v>
                </c:pt>
                <c:pt idx="53">
                  <c:v>10.599999999999994</c:v>
                </c:pt>
                <c:pt idx="54">
                  <c:v>10.799999999999994</c:v>
                </c:pt>
                <c:pt idx="55">
                  <c:v>10.999999999999993</c:v>
                </c:pt>
                <c:pt idx="56">
                  <c:v>11.199999999999992</c:v>
                </c:pt>
                <c:pt idx="57">
                  <c:v>11.399999999999991</c:v>
                </c:pt>
                <c:pt idx="58">
                  <c:v>11.599999999999991</c:v>
                </c:pt>
                <c:pt idx="59">
                  <c:v>11.79999999999999</c:v>
                </c:pt>
                <c:pt idx="60">
                  <c:v>11.999999999999989</c:v>
                </c:pt>
                <c:pt idx="61">
                  <c:v>12.199999999999989</c:v>
                </c:pt>
                <c:pt idx="62">
                  <c:v>12.399999999999988</c:v>
                </c:pt>
                <c:pt idx="63">
                  <c:v>12.599999999999987</c:v>
                </c:pt>
                <c:pt idx="64">
                  <c:v>12.799999999999986</c:v>
                </c:pt>
                <c:pt idx="65">
                  <c:v>12.999999999999986</c:v>
                </c:pt>
                <c:pt idx="66">
                  <c:v>13.199999999999985</c:v>
                </c:pt>
                <c:pt idx="67">
                  <c:v>13.399999999999984</c:v>
                </c:pt>
                <c:pt idx="68">
                  <c:v>13.599999999999984</c:v>
                </c:pt>
                <c:pt idx="69">
                  <c:v>13.799999999999983</c:v>
                </c:pt>
                <c:pt idx="70">
                  <c:v>13.999999999999982</c:v>
                </c:pt>
                <c:pt idx="71">
                  <c:v>14.199999999999982</c:v>
                </c:pt>
                <c:pt idx="72">
                  <c:v>14.399999999999981</c:v>
                </c:pt>
                <c:pt idx="73">
                  <c:v>14.59999999999998</c:v>
                </c:pt>
                <c:pt idx="74">
                  <c:v>14.799999999999979</c:v>
                </c:pt>
                <c:pt idx="75">
                  <c:v>14.999999999999979</c:v>
                </c:pt>
                <c:pt idx="76">
                  <c:v>15.199999999999978</c:v>
                </c:pt>
                <c:pt idx="77">
                  <c:v>15.399999999999977</c:v>
                </c:pt>
                <c:pt idx="78">
                  <c:v>15.599999999999977</c:v>
                </c:pt>
                <c:pt idx="79">
                  <c:v>15.799999999999976</c:v>
                </c:pt>
                <c:pt idx="80">
                  <c:v>15.999999999999975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'model 1a'!$G$49</c:f>
              <c:strCache>
                <c:ptCount val="1"/>
                <c:pt idx="0">
                  <c:v>0.2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'model 1a'!$G$50:$G$130</c:f>
              <c:numCache>
                <c:formatCode>0.00</c:formatCode>
                <c:ptCount val="81"/>
                <c:pt idx="0">
                  <c:v>0.11938853665883564</c:v>
                </c:pt>
                <c:pt idx="1">
                  <c:v>0.12916052802197941</c:v>
                </c:pt>
                <c:pt idx="2">
                  <c:v>0.13783196820784527</c:v>
                </c:pt>
                <c:pt idx="3">
                  <c:v>0.14535972911793626</c:v>
                </c:pt>
                <c:pt idx="4">
                  <c:v>0.15171678819057077</c:v>
                </c:pt>
                <c:pt idx="5">
                  <c:v>0.15689201609205661</c:v>
                </c:pt>
                <c:pt idx="6">
                  <c:v>0.16088966153190709</c:v>
                </c:pt>
                <c:pt idx="7">
                  <c:v>0.16372855910612039</c:v>
                </c:pt>
                <c:pt idx="8">
                  <c:v>0.16544109227101744</c:v>
                </c:pt>
                <c:pt idx="9">
                  <c:v>0.1660719484429527</c:v>
                </c:pt>
                <c:pt idx="10">
                  <c:v>0.16567670670839019</c:v>
                </c:pt>
                <c:pt idx="11">
                  <c:v>0.16432030067561154</c:v>
                </c:pt>
                <c:pt idx="12">
                  <c:v>0.16207539962279083</c:v>
                </c:pt>
                <c:pt idx="13">
                  <c:v>0.15902075036936636</c:v>
                </c:pt>
                <c:pt idx="14">
                  <c:v>0.15523952033723365</c:v>
                </c:pt>
                <c:pt idx="15">
                  <c:v>0.15081767923226796</c:v>
                </c:pt>
                <c:pt idx="16">
                  <c:v>0.14584245285070652</c:v>
                </c:pt>
                <c:pt idx="17">
                  <c:v>0.14040087790356948</c:v>
                </c:pt>
                <c:pt idx="18">
                  <c:v>0.13457848166883712</c:v>
                </c:pt>
                <c:pt idx="19">
                  <c:v>0.12845810493788368</c:v>
                </c:pt>
                <c:pt idx="20">
                  <c:v>0.12211888132248672</c:v>
                </c:pt>
                <c:pt idx="21">
                  <c:v>0.11563538071729584</c:v>
                </c:pt>
                <c:pt idx="22">
                  <c:v>0.10907691973266154</c:v>
                </c:pt>
                <c:pt idx="23">
                  <c:v>0.10250703735937194</c:v>
                </c:pt>
                <c:pt idx="24">
                  <c:v>9.5983130105513847E-2</c:v>
                </c:pt>
                <c:pt idx="25">
                  <c:v>8.955623743033847E-2</c:v>
                </c:pt>
                <c:pt idx="26">
                  <c:v>8.3270965534415708E-2</c:v>
                </c:pt>
                <c:pt idx="27">
                  <c:v>7.7165535464098323E-2</c:v>
                </c:pt>
                <c:pt idx="28">
                  <c:v>7.1271940040291692E-2</c:v>
                </c:pt>
                <c:pt idx="29">
                  <c:v>6.5616193293100089E-2</c:v>
                </c:pt>
                <c:pt idx="30">
                  <c:v>6.021865582352337E-2</c:v>
                </c:pt>
                <c:pt idx="31">
                  <c:v>5.5094419755526536E-2</c:v>
                </c:pt>
                <c:pt idx="32">
                  <c:v>5.0253737611884564E-2</c:v>
                </c:pt>
                <c:pt idx="33">
                  <c:v>4.570248046553127E-2</c:v>
                </c:pt>
                <c:pt idx="34">
                  <c:v>4.1442612003792068E-2</c:v>
                </c:pt>
                <c:pt idx="35">
                  <c:v>3.7472666617125006E-2</c:v>
                </c:pt>
                <c:pt idx="36">
                  <c:v>3.3788221213219449E-2</c:v>
                </c:pt>
                <c:pt idx="37">
                  <c:v>3.0382352094551424E-2</c:v>
                </c:pt>
                <c:pt idx="38">
                  <c:v>2.7246069864961919E-2</c:v>
                </c:pt>
                <c:pt idx="39">
                  <c:v>2.4368726899570703E-2</c:v>
                </c:pt>
                <c:pt idx="40">
                  <c:v>2.173839338375072E-2</c:v>
                </c:pt>
                <c:pt idx="41">
                  <c:v>1.9342199271736193E-2</c:v>
                </c:pt>
                <c:pt idx="42">
                  <c:v>1.7166640713718984E-2</c:v>
                </c:pt>
                <c:pt idx="43">
                  <c:v>1.5197850540590974E-2</c:v>
                </c:pt>
                <c:pt idx="44">
                  <c:v>1.3421833273315364E-2</c:v>
                </c:pt>
                <c:pt idx="45">
                  <c:v>1.1824665841409399E-2</c:v>
                </c:pt>
                <c:pt idx="46">
                  <c:v>1.0392665759181741E-2</c:v>
                </c:pt>
                <c:pt idx="47">
                  <c:v>9.112528929736019E-3</c:v>
                </c:pt>
                <c:pt idx="48">
                  <c:v>7.9714395391030646E-3</c:v>
                </c:pt>
                <c:pt idx="49">
                  <c:v>6.9571546814348739E-3</c:v>
                </c:pt>
                <c:pt idx="50">
                  <c:v>6.0580664364864312E-3</c:v>
                </c:pt>
                <c:pt idx="51">
                  <c:v>5.2632441195998858E-3</c:v>
                </c:pt>
                <c:pt idx="52">
                  <c:v>4.5624593568149852E-3</c:v>
                </c:pt>
                <c:pt idx="53">
                  <c:v>3.9461965188463122E-3</c:v>
                </c:pt>
                <c:pt idx="54">
                  <c:v>3.4056508899520388E-3</c:v>
                </c:pt>
                <c:pt idx="55">
                  <c:v>2.9327167645327723E-3</c:v>
                </c:pt>
                <c:pt idx="56">
                  <c:v>2.5199674632530034E-3</c:v>
                </c:pt>
                <c:pt idx="57">
                  <c:v>2.1606290537863337E-3</c:v>
                </c:pt>
                <c:pt idx="58">
                  <c:v>1.8485493517514939E-3</c:v>
                </c:pt>
                <c:pt idx="59">
                  <c:v>1.5781635750893308E-3</c:v>
                </c:pt>
                <c:pt idx="60">
                  <c:v>1.3444578298125176E-3</c:v>
                </c:pt>
                <c:pt idx="61">
                  <c:v>1.1429314236899302E-3</c:v>
                </c:pt>
                <c:pt idx="62">
                  <c:v>9.6955883602656279E-4</c:v>
                </c:pt>
                <c:pt idx="63">
                  <c:v>8.2075202189657581E-4</c:v>
                </c:pt>
                <c:pt idx="64">
                  <c:v>6.9332358620988188E-4</c:v>
                </c:pt>
                <c:pt idx="65">
                  <c:v>5.844512558221826E-4</c:v>
                </c:pt>
                <c:pt idx="66">
                  <c:v>4.9164395515211012E-4</c:v>
                </c:pt>
                <c:pt idx="67">
                  <c:v>4.1270971814033608E-4</c:v>
                </c:pt>
                <c:pt idx="68">
                  <c:v>3.4572557744279775E-4</c:v>
                </c:pt>
                <c:pt idx="69">
                  <c:v>2.8900952821175505E-4</c:v>
                </c:pt>
                <c:pt idx="70">
                  <c:v>2.4109458086668618E-4</c:v>
                </c:pt>
                <c:pt idx="71">
                  <c:v>2.0070490676411237E-4</c:v>
                </c:pt>
                <c:pt idx="72">
                  <c:v>1.6673402530092681E-4</c:v>
                </c:pt>
                <c:pt idx="73">
                  <c:v>1.3822496423191203E-4</c:v>
                </c:pt>
                <c:pt idx="74">
                  <c:v>1.1435230313406539E-4</c:v>
                </c:pt>
                <c:pt idx="75">
                  <c:v>9.4405996835920206E-5</c:v>
                </c:pt>
                <c:pt idx="76">
                  <c:v>7.7776866704549216E-5</c:v>
                </c:pt>
                <c:pt idx="77">
                  <c:v>6.3943642232539266E-5</c:v>
                </c:pt>
                <c:pt idx="78">
                  <c:v>5.2461434161776583E-5</c:v>
                </c:pt>
                <c:pt idx="79">
                  <c:v>4.2951520497301627E-5</c:v>
                </c:pt>
                <c:pt idx="80">
                  <c:v>3.5092329468846921E-5</c:v>
                </c:pt>
              </c:numCache>
            </c:numRef>
          </c:xVal>
          <c:yVal>
            <c:numRef>
              <c:f>'model 1a'!$A$50:$A$130</c:f>
              <c:numCache>
                <c:formatCode>General</c:formatCode>
                <c:ptCount val="8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  <c:pt idx="21">
                  <c:v>4.2000000000000011</c:v>
                </c:pt>
                <c:pt idx="22">
                  <c:v>4.4000000000000012</c:v>
                </c:pt>
                <c:pt idx="23">
                  <c:v>4.6000000000000014</c:v>
                </c:pt>
                <c:pt idx="24">
                  <c:v>4.8000000000000016</c:v>
                </c:pt>
                <c:pt idx="25">
                  <c:v>5.0000000000000018</c:v>
                </c:pt>
                <c:pt idx="26">
                  <c:v>5.200000000000002</c:v>
                </c:pt>
                <c:pt idx="27">
                  <c:v>5.4000000000000021</c:v>
                </c:pt>
                <c:pt idx="28">
                  <c:v>5.6000000000000023</c:v>
                </c:pt>
                <c:pt idx="29">
                  <c:v>5.8000000000000025</c:v>
                </c:pt>
                <c:pt idx="30">
                  <c:v>6.0000000000000027</c:v>
                </c:pt>
                <c:pt idx="31">
                  <c:v>6.2000000000000028</c:v>
                </c:pt>
                <c:pt idx="32">
                  <c:v>6.400000000000003</c:v>
                </c:pt>
                <c:pt idx="33">
                  <c:v>6.6000000000000032</c:v>
                </c:pt>
                <c:pt idx="34">
                  <c:v>6.8000000000000034</c:v>
                </c:pt>
                <c:pt idx="35">
                  <c:v>7.0000000000000036</c:v>
                </c:pt>
                <c:pt idx="36">
                  <c:v>7.2000000000000037</c:v>
                </c:pt>
                <c:pt idx="37">
                  <c:v>7.4000000000000039</c:v>
                </c:pt>
                <c:pt idx="38">
                  <c:v>7.6000000000000041</c:v>
                </c:pt>
                <c:pt idx="39">
                  <c:v>7.8000000000000043</c:v>
                </c:pt>
                <c:pt idx="40">
                  <c:v>8.0000000000000036</c:v>
                </c:pt>
                <c:pt idx="41">
                  <c:v>8.2000000000000028</c:v>
                </c:pt>
                <c:pt idx="42">
                  <c:v>8.4000000000000021</c:v>
                </c:pt>
                <c:pt idx="43">
                  <c:v>8.6000000000000014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9.3999999999999986</c:v>
                </c:pt>
                <c:pt idx="48">
                  <c:v>9.5999999999999979</c:v>
                </c:pt>
                <c:pt idx="49">
                  <c:v>9.7999999999999972</c:v>
                </c:pt>
                <c:pt idx="50">
                  <c:v>9.9999999999999964</c:v>
                </c:pt>
                <c:pt idx="51">
                  <c:v>10.199999999999996</c:v>
                </c:pt>
                <c:pt idx="52">
                  <c:v>10.399999999999995</c:v>
                </c:pt>
                <c:pt idx="53">
                  <c:v>10.599999999999994</c:v>
                </c:pt>
                <c:pt idx="54">
                  <c:v>10.799999999999994</c:v>
                </c:pt>
                <c:pt idx="55">
                  <c:v>10.999999999999993</c:v>
                </c:pt>
                <c:pt idx="56">
                  <c:v>11.199999999999992</c:v>
                </c:pt>
                <c:pt idx="57">
                  <c:v>11.399999999999991</c:v>
                </c:pt>
                <c:pt idx="58">
                  <c:v>11.599999999999991</c:v>
                </c:pt>
                <c:pt idx="59">
                  <c:v>11.79999999999999</c:v>
                </c:pt>
                <c:pt idx="60">
                  <c:v>11.999999999999989</c:v>
                </c:pt>
                <c:pt idx="61">
                  <c:v>12.199999999999989</c:v>
                </c:pt>
                <c:pt idx="62">
                  <c:v>12.399999999999988</c:v>
                </c:pt>
                <c:pt idx="63">
                  <c:v>12.599999999999987</c:v>
                </c:pt>
                <c:pt idx="64">
                  <c:v>12.799999999999986</c:v>
                </c:pt>
                <c:pt idx="65">
                  <c:v>12.999999999999986</c:v>
                </c:pt>
                <c:pt idx="66">
                  <c:v>13.199999999999985</c:v>
                </c:pt>
                <c:pt idx="67">
                  <c:v>13.399999999999984</c:v>
                </c:pt>
                <c:pt idx="68">
                  <c:v>13.599999999999984</c:v>
                </c:pt>
                <c:pt idx="69">
                  <c:v>13.799999999999983</c:v>
                </c:pt>
                <c:pt idx="70">
                  <c:v>13.999999999999982</c:v>
                </c:pt>
                <c:pt idx="71">
                  <c:v>14.199999999999982</c:v>
                </c:pt>
                <c:pt idx="72">
                  <c:v>14.399999999999981</c:v>
                </c:pt>
                <c:pt idx="73">
                  <c:v>14.59999999999998</c:v>
                </c:pt>
                <c:pt idx="74">
                  <c:v>14.799999999999979</c:v>
                </c:pt>
                <c:pt idx="75">
                  <c:v>14.999999999999979</c:v>
                </c:pt>
                <c:pt idx="76">
                  <c:v>15.199999999999978</c:v>
                </c:pt>
                <c:pt idx="77">
                  <c:v>15.399999999999977</c:v>
                </c:pt>
                <c:pt idx="78">
                  <c:v>15.599999999999977</c:v>
                </c:pt>
                <c:pt idx="79">
                  <c:v>15.799999999999976</c:v>
                </c:pt>
                <c:pt idx="80">
                  <c:v>15.999999999999975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'model 1a'!$H$49</c:f>
              <c:strCache>
                <c:ptCount val="1"/>
                <c:pt idx="0">
                  <c:v>0.3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1a'!$H$50:$H$130</c:f>
              <c:numCache>
                <c:formatCode>0.00</c:formatCode>
                <c:ptCount val="81"/>
                <c:pt idx="0">
                  <c:v>0.153815143836187</c:v>
                </c:pt>
                <c:pt idx="1">
                  <c:v>0.15854164332464915</c:v>
                </c:pt>
                <c:pt idx="2">
                  <c:v>0.16209614130817407</c:v>
                </c:pt>
                <c:pt idx="3">
                  <c:v>0.16450274805545551</c:v>
                </c:pt>
                <c:pt idx="4">
                  <c:v>0.16579867075744703</c:v>
                </c:pt>
                <c:pt idx="5">
                  <c:v>0.16603290037251139</c:v>
                </c:pt>
                <c:pt idx="6">
                  <c:v>0.16526474709035721</c:v>
                </c:pt>
                <c:pt idx="7">
                  <c:v>0.1635622673388486</c:v>
                </c:pt>
                <c:pt idx="8">
                  <c:v>0.16100062535715232</c:v>
                </c:pt>
                <c:pt idx="9">
                  <c:v>0.15766043114712147</c:v>
                </c:pt>
                <c:pt idx="10">
                  <c:v>0.15362609422648199</c:v>
                </c:pt>
                <c:pt idx="11">
                  <c:v>0.14898422921131393</c:v>
                </c:pt>
                <c:pt idx="12">
                  <c:v>0.1438221450454642</c:v>
                </c:pt>
                <c:pt idx="13">
                  <c:v>0.13822644487985403</c:v>
                </c:pt>
                <c:pt idx="14">
                  <c:v>0.13228175839914802</c:v>
                </c:pt>
                <c:pt idx="15">
                  <c:v>0.12606962300652325</c:v>
                </c:pt>
                <c:pt idx="16">
                  <c:v>0.11966752490644561</c:v>
                </c:pt>
                <c:pt idx="17">
                  <c:v>0.11314810594784852</c:v>
                </c:pt>
                <c:pt idx="18">
                  <c:v>0.10657853725873045</c:v>
                </c:pt>
                <c:pt idx="19">
                  <c:v>0.10002005634187361</c:v>
                </c:pt>
                <c:pt idx="20">
                  <c:v>9.3527660503629928E-2</c:v>
                </c:pt>
                <c:pt idx="21">
                  <c:v>8.7149946316068982E-2</c:v>
                </c:pt>
                <c:pt idx="22">
                  <c:v>8.0929082299281196E-2</c:v>
                </c:pt>
                <c:pt idx="23">
                  <c:v>7.4900900160193906E-2</c:v>
                </c:pt>
                <c:pt idx="24">
                  <c:v>6.9095088716364383E-2</c:v>
                </c:pt>
                <c:pt idx="25">
                  <c:v>6.3535474027243133E-2</c:v>
                </c:pt>
                <c:pt idx="26">
                  <c:v>5.8240369193820918E-2</c:v>
                </c:pt>
                <c:pt idx="27">
                  <c:v>5.3222977700979612E-2</c:v>
                </c:pt>
                <c:pt idx="28">
                  <c:v>4.8491834988325655E-2</c:v>
                </c:pt>
                <c:pt idx="29">
                  <c:v>4.4051274064133006E-2</c:v>
                </c:pt>
                <c:pt idx="30">
                  <c:v>3.9901902342917683E-2</c:v>
                </c:pt>
                <c:pt idx="31">
                  <c:v>3.6041078412996752E-2</c:v>
                </c:pt>
                <c:pt idx="32">
                  <c:v>3.2463379054846531E-2</c:v>
                </c:pt>
                <c:pt idx="33">
                  <c:v>2.9161048470643269E-2</c:v>
                </c:pt>
                <c:pt idx="34">
                  <c:v>2.6124423295402988E-2</c:v>
                </c:pt>
                <c:pt idx="35">
                  <c:v>2.3342328495734588E-2</c:v>
                </c:pt>
                <c:pt idx="36">
                  <c:v>2.080244068828363E-2</c:v>
                </c:pt>
                <c:pt idx="37">
                  <c:v>1.8491616700875291E-2</c:v>
                </c:pt>
                <c:pt idx="38">
                  <c:v>1.6396186338529795E-2</c:v>
                </c:pt>
                <c:pt idx="39">
                  <c:v>1.4502209295102375E-2</c:v>
                </c:pt>
                <c:pt idx="40">
                  <c:v>1.2795696967902614E-2</c:v>
                </c:pt>
                <c:pt idx="41">
                  <c:v>1.1262800590656319E-2</c:v>
                </c:pt>
                <c:pt idx="42">
                  <c:v>9.8899676088488597E-3</c:v>
                </c:pt>
                <c:pt idx="43">
                  <c:v>8.6640685922021454E-3</c:v>
                </c:pt>
                <c:pt idx="44">
                  <c:v>7.5724972263777612E-3</c:v>
                </c:pt>
                <c:pt idx="45">
                  <c:v>6.6032460652487579E-3</c:v>
                </c:pt>
                <c:pt idx="46">
                  <c:v>5.7449607732755759E-3</c:v>
                </c:pt>
                <c:pt idx="47">
                  <c:v>4.9869755585900677E-3</c:v>
                </c:pt>
                <c:pt idx="48">
                  <c:v>4.3193324097372532E-3</c:v>
                </c:pt>
                <c:pt idx="49">
                  <c:v>3.7327866132215171E-3</c:v>
                </c:pt>
                <c:pt idx="50">
                  <c:v>3.2188008606974794E-3</c:v>
                </c:pt>
                <c:pt idx="51">
                  <c:v>2.7695300636303433E-3</c:v>
                </c:pt>
                <c:pt idx="52">
                  <c:v>2.3777987893849328E-3</c:v>
                </c:pt>
                <c:pt idx="53">
                  <c:v>2.0370730232215362E-3</c:v>
                </c:pt>
                <c:pt idx="54">
                  <c:v>1.741427755273417E-3</c:v>
                </c:pt>
                <c:pt idx="55">
                  <c:v>1.4855116884828767E-3</c:v>
                </c:pt>
                <c:pt idx="56">
                  <c:v>1.2645101782740031E-3</c:v>
                </c:pt>
                <c:pt idx="57">
                  <c:v>1.0741073297297898E-3</c:v>
                </c:pt>
                <c:pt idx="58">
                  <c:v>9.1044802797046742E-4</c:v>
                </c:pt>
                <c:pt idx="59">
                  <c:v>7.7010051862202999E-4</c:v>
                </c:pt>
                <c:pt idx="60">
                  <c:v>6.5002003424274868E-4</c:v>
                </c:pt>
                <c:pt idx="61">
                  <c:v>5.4751384509477141E-4</c:v>
                </c:pt>
                <c:pt idx="62">
                  <c:v>4.6020801173618509E-4</c:v>
                </c:pt>
                <c:pt idx="63">
                  <c:v>3.8601603706487877E-4</c:v>
                </c:pt>
                <c:pt idx="64">
                  <c:v>3.2310953579232302E-4</c:v>
                </c:pt>
                <c:pt idx="65">
                  <c:v>2.698909903357823E-4</c:v>
                </c:pt>
                <c:pt idx="66">
                  <c:v>2.2496860342282625E-4</c:v>
                </c:pt>
                <c:pt idx="67">
                  <c:v>1.8713322521307738E-4</c:v>
                </c:pt>
                <c:pt idx="68">
                  <c:v>1.5533729936325911E-4</c:v>
                </c:pt>
                <c:pt idx="69">
                  <c:v>1.2867574964797271E-4</c:v>
                </c:pt>
                <c:pt idx="70">
                  <c:v>1.0636871192424357E-4</c:v>
                </c:pt>
                <c:pt idx="71">
                  <c:v>8.7746004144197365E-5</c:v>
                </c:pt>
                <c:pt idx="72">
                  <c:v>7.2233220038409908E-5</c:v>
                </c:pt>
                <c:pt idx="73">
                  <c:v>5.9339327914973199E-5</c:v>
                </c:pt>
                <c:pt idx="74">
                  <c:v>4.8645655810812278E-5</c:v>
                </c:pt>
                <c:pt idx="75">
                  <c:v>3.9796145023421565E-5</c:v>
                </c:pt>
                <c:pt idx="76">
                  <c:v>3.2488757979554256E-5</c:v>
                </c:pt>
                <c:pt idx="77">
                  <c:v>2.6467930899096742E-5</c:v>
                </c:pt>
                <c:pt idx="78">
                  <c:v>2.1517966844946048E-5</c:v>
                </c:pt>
                <c:pt idx="79">
                  <c:v>1.7457272458868586E-5</c:v>
                </c:pt>
                <c:pt idx="80">
                  <c:v>1.4133345775181962E-5</c:v>
                </c:pt>
              </c:numCache>
            </c:numRef>
          </c:xVal>
          <c:yVal>
            <c:numRef>
              <c:f>'model 1a'!$A$50:$A$130</c:f>
              <c:numCache>
                <c:formatCode>General</c:formatCode>
                <c:ptCount val="8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  <c:pt idx="21">
                  <c:v>4.2000000000000011</c:v>
                </c:pt>
                <c:pt idx="22">
                  <c:v>4.4000000000000012</c:v>
                </c:pt>
                <c:pt idx="23">
                  <c:v>4.6000000000000014</c:v>
                </c:pt>
                <c:pt idx="24">
                  <c:v>4.8000000000000016</c:v>
                </c:pt>
                <c:pt idx="25">
                  <c:v>5.0000000000000018</c:v>
                </c:pt>
                <c:pt idx="26">
                  <c:v>5.200000000000002</c:v>
                </c:pt>
                <c:pt idx="27">
                  <c:v>5.4000000000000021</c:v>
                </c:pt>
                <c:pt idx="28">
                  <c:v>5.6000000000000023</c:v>
                </c:pt>
                <c:pt idx="29">
                  <c:v>5.8000000000000025</c:v>
                </c:pt>
                <c:pt idx="30">
                  <c:v>6.0000000000000027</c:v>
                </c:pt>
                <c:pt idx="31">
                  <c:v>6.2000000000000028</c:v>
                </c:pt>
                <c:pt idx="32">
                  <c:v>6.400000000000003</c:v>
                </c:pt>
                <c:pt idx="33">
                  <c:v>6.6000000000000032</c:v>
                </c:pt>
                <c:pt idx="34">
                  <c:v>6.8000000000000034</c:v>
                </c:pt>
                <c:pt idx="35">
                  <c:v>7.0000000000000036</c:v>
                </c:pt>
                <c:pt idx="36">
                  <c:v>7.2000000000000037</c:v>
                </c:pt>
                <c:pt idx="37">
                  <c:v>7.4000000000000039</c:v>
                </c:pt>
                <c:pt idx="38">
                  <c:v>7.6000000000000041</c:v>
                </c:pt>
                <c:pt idx="39">
                  <c:v>7.8000000000000043</c:v>
                </c:pt>
                <c:pt idx="40">
                  <c:v>8.0000000000000036</c:v>
                </c:pt>
                <c:pt idx="41">
                  <c:v>8.2000000000000028</c:v>
                </c:pt>
                <c:pt idx="42">
                  <c:v>8.4000000000000021</c:v>
                </c:pt>
                <c:pt idx="43">
                  <c:v>8.6000000000000014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9.3999999999999986</c:v>
                </c:pt>
                <c:pt idx="48">
                  <c:v>9.5999999999999979</c:v>
                </c:pt>
                <c:pt idx="49">
                  <c:v>9.7999999999999972</c:v>
                </c:pt>
                <c:pt idx="50">
                  <c:v>9.9999999999999964</c:v>
                </c:pt>
                <c:pt idx="51">
                  <c:v>10.199999999999996</c:v>
                </c:pt>
                <c:pt idx="52">
                  <c:v>10.399999999999995</c:v>
                </c:pt>
                <c:pt idx="53">
                  <c:v>10.599999999999994</c:v>
                </c:pt>
                <c:pt idx="54">
                  <c:v>10.799999999999994</c:v>
                </c:pt>
                <c:pt idx="55">
                  <c:v>10.999999999999993</c:v>
                </c:pt>
                <c:pt idx="56">
                  <c:v>11.199999999999992</c:v>
                </c:pt>
                <c:pt idx="57">
                  <c:v>11.399999999999991</c:v>
                </c:pt>
                <c:pt idx="58">
                  <c:v>11.599999999999991</c:v>
                </c:pt>
                <c:pt idx="59">
                  <c:v>11.79999999999999</c:v>
                </c:pt>
                <c:pt idx="60">
                  <c:v>11.999999999999989</c:v>
                </c:pt>
                <c:pt idx="61">
                  <c:v>12.199999999999989</c:v>
                </c:pt>
                <c:pt idx="62">
                  <c:v>12.399999999999988</c:v>
                </c:pt>
                <c:pt idx="63">
                  <c:v>12.599999999999987</c:v>
                </c:pt>
                <c:pt idx="64">
                  <c:v>12.799999999999986</c:v>
                </c:pt>
                <c:pt idx="65">
                  <c:v>12.999999999999986</c:v>
                </c:pt>
                <c:pt idx="66">
                  <c:v>13.199999999999985</c:v>
                </c:pt>
                <c:pt idx="67">
                  <c:v>13.399999999999984</c:v>
                </c:pt>
                <c:pt idx="68">
                  <c:v>13.599999999999984</c:v>
                </c:pt>
                <c:pt idx="69">
                  <c:v>13.799999999999983</c:v>
                </c:pt>
                <c:pt idx="70">
                  <c:v>13.999999999999982</c:v>
                </c:pt>
                <c:pt idx="71">
                  <c:v>14.199999999999982</c:v>
                </c:pt>
                <c:pt idx="72">
                  <c:v>14.399999999999981</c:v>
                </c:pt>
                <c:pt idx="73">
                  <c:v>14.59999999999998</c:v>
                </c:pt>
                <c:pt idx="74">
                  <c:v>14.799999999999979</c:v>
                </c:pt>
                <c:pt idx="75">
                  <c:v>14.999999999999979</c:v>
                </c:pt>
                <c:pt idx="76">
                  <c:v>15.199999999999978</c:v>
                </c:pt>
                <c:pt idx="77">
                  <c:v>15.399999999999977</c:v>
                </c:pt>
                <c:pt idx="78">
                  <c:v>15.599999999999977</c:v>
                </c:pt>
                <c:pt idx="79">
                  <c:v>15.799999999999976</c:v>
                </c:pt>
                <c:pt idx="80">
                  <c:v>15.999999999999975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'model 1a'!$J$49</c:f>
              <c:strCache>
                <c:ptCount val="1"/>
                <c:pt idx="0">
                  <c:v>0.5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1a'!$J$50:$J$130</c:f>
              <c:numCache>
                <c:formatCode>0.00</c:formatCode>
                <c:ptCount val="81"/>
                <c:pt idx="0">
                  <c:v>0.15851949274862953</c:v>
                </c:pt>
                <c:pt idx="1">
                  <c:v>0.15464501029888322</c:v>
                </c:pt>
                <c:pt idx="2">
                  <c:v>0.15014210684025819</c:v>
                </c:pt>
                <c:pt idx="3">
                  <c:v>0.14509803868556514</c:v>
                </c:pt>
                <c:pt idx="4">
                  <c:v>0.13959968267342848</c:v>
                </c:pt>
                <c:pt idx="5">
                  <c:v>0.1337322352325836</c:v>
                </c:pt>
                <c:pt idx="6">
                  <c:v>0.12757805679023804</c:v>
                </c:pt>
                <c:pt idx="7">
                  <c:v>0.12121567384404308</c:v>
                </c:pt>
                <c:pt idx="8">
                  <c:v>0.11471894578045938</c:v>
                </c:pt>
                <c:pt idx="9">
                  <c:v>0.10815639859703041</c:v>
                </c:pt>
                <c:pt idx="10">
                  <c:v>0.10159072320357776</c:v>
                </c:pt>
                <c:pt idx="11">
                  <c:v>9.5078432038353311E-2</c:v>
                </c:pt>
                <c:pt idx="12">
                  <c:v>8.8669664409680937E-2</c:v>
                </c:pt>
                <c:pt idx="13">
                  <c:v>8.2408128300928807E-2</c:v>
                </c:pt>
                <c:pt idx="14">
                  <c:v>7.6331164367813287E-2</c:v>
                </c:pt>
                <c:pt idx="15">
                  <c:v>7.046991649752754E-2</c:v>
                </c:pt>
                <c:pt idx="16">
                  <c:v>6.4849592552701729E-2</c:v>
                </c:pt>
                <c:pt idx="17">
                  <c:v>5.9489798736100941E-2</c:v>
                </c:pt>
                <c:pt idx="18">
                  <c:v>5.4404931317183047E-2</c:v>
                </c:pt>
                <c:pt idx="19">
                  <c:v>4.9604610183848541E-2</c:v>
                </c:pt>
                <c:pt idx="20">
                  <c:v>4.5094139741719719E-2</c:v>
                </c:pt>
                <c:pt idx="21">
                  <c:v>4.0874983998524295E-2</c:v>
                </c:pt>
                <c:pt idx="22">
                  <c:v>3.6945244164385382E-2</c:v>
                </c:pt>
                <c:pt idx="23">
                  <c:v>3.3300128697356213E-2</c:v>
                </c:pt>
                <c:pt idx="24">
                  <c:v>2.9932407361600077E-2</c:v>
                </c:pt>
                <c:pt idx="25">
                  <c:v>2.6832842486683717E-2</c:v>
                </c:pt>
                <c:pt idx="26">
                  <c:v>2.3990592172935754E-2</c:v>
                </c:pt>
                <c:pt idx="27">
                  <c:v>2.1393581642582316E-2</c:v>
                </c:pt>
                <c:pt idx="28">
                  <c:v>1.9028840261257951E-2</c:v>
                </c:pt>
                <c:pt idx="29">
                  <c:v>1.688280293106259E-2</c:v>
                </c:pt>
                <c:pt idx="30">
                  <c:v>1.4941575573840682E-2</c:v>
                </c:pt>
                <c:pt idx="31">
                  <c:v>1.3191165278652273E-2</c:v>
                </c:pt>
                <c:pt idx="32">
                  <c:v>1.1617676382960296E-2</c:v>
                </c:pt>
                <c:pt idx="33">
                  <c:v>1.0207474300800268E-2</c:v>
                </c:pt>
                <c:pt idx="34">
                  <c:v>8.9473193138478457E-3</c:v>
                </c:pt>
                <c:pt idx="35">
                  <c:v>7.8244728171465994E-3</c:v>
                </c:pt>
                <c:pt idx="36">
                  <c:v>6.826778675330214E-3</c:v>
                </c:pt>
                <c:pt idx="37">
                  <c:v>5.94272241342364E-3</c:v>
                </c:pt>
                <c:pt idx="38">
                  <c:v>5.1614709555143357E-3</c:v>
                </c:pt>
                <c:pt idx="39">
                  <c:v>4.4728955490351829E-3</c:v>
                </c:pt>
                <c:pt idx="40">
                  <c:v>3.8675803875278802E-3</c:v>
                </c:pt>
                <c:pt idx="41">
                  <c:v>3.3368192833298504E-3</c:v>
                </c:pt>
                <c:pt idx="42">
                  <c:v>2.8726025552505696E-3</c:v>
                </c:pt>
                <c:pt idx="43">
                  <c:v>2.4675960944322561E-3</c:v>
                </c:pt>
                <c:pt idx="44">
                  <c:v>2.1151143635322889E-3</c:v>
                </c:pt>
                <c:pt idx="45">
                  <c:v>1.8090888769877189E-3</c:v>
                </c:pt>
                <c:pt idx="46">
                  <c:v>1.5440335072807176E-3</c:v>
                </c:pt>
                <c:pt idx="47">
                  <c:v>1.315007768626586E-3</c:v>
                </c:pt>
                <c:pt idx="48">
                  <c:v>1.1175790523652029E-3</c:v>
                </c:pt>
                <c:pt idx="49">
                  <c:v>9.4778461818911808E-4</c:v>
                </c:pt>
                <c:pt idx="50">
                  <c:v>8.0209400088460114E-4</c:v>
                </c:pt>
                <c:pt idx="51">
                  <c:v>6.7737235173881416E-4</c:v>
                </c:pt>
                <c:pt idx="52">
                  <c:v>5.7084512102956175E-4</c:v>
                </c:pt>
                <c:pt idx="53">
                  <c:v>4.8006438867731482E-4</c:v>
                </c:pt>
                <c:pt idx="54">
                  <c:v>4.0287704045946916E-4</c:v>
                </c:pt>
                <c:pt idx="55">
                  <c:v>3.3739495600492976E-4</c:v>
                </c:pt>
                <c:pt idx="56">
                  <c:v>2.8196725399760658E-4</c:v>
                </c:pt>
                <c:pt idx="57">
                  <c:v>2.3515464533563661E-4</c:v>
                </c:pt>
                <c:pt idx="58">
                  <c:v>1.9570586519791625E-4</c:v>
                </c:pt>
                <c:pt idx="59">
                  <c:v>1.6253613999101538E-4</c:v>
                </c:pt>
                <c:pt idx="60">
                  <c:v>1.3470761517996071E-4</c:v>
                </c:pt>
                <c:pt idx="61">
                  <c:v>1.1141165248027834E-4</c:v>
                </c:pt>
                <c:pt idx="62">
                  <c:v>9.1952891541083678E-5</c:v>
                </c:pt>
                <c:pt idx="63">
                  <c:v>7.5734963048010564E-5</c:v>
                </c:pt>
                <c:pt idx="64">
                  <c:v>6.2247735724645326E-5</c:v>
                </c:pt>
                <c:pt idx="65">
                  <c:v>5.1055978048140732E-5</c:v>
                </c:pt>
                <c:pt idx="66">
                  <c:v>4.1789316480091668E-5</c:v>
                </c:pt>
                <c:pt idx="67">
                  <c:v>3.413337499658073E-5</c:v>
                </c:pt>
                <c:pt idx="68">
                  <c:v>2.7821985542649551E-5</c:v>
                </c:pt>
                <c:pt idx="69">
                  <c:v>2.2630363107946077E-5</c:v>
                </c:pt>
                <c:pt idx="70">
                  <c:v>1.8369147260597071E-5</c:v>
                </c:pt>
                <c:pt idx="71">
                  <c:v>1.4879216914504604E-5</c:v>
                </c:pt>
                <c:pt idx="72">
                  <c:v>1.2027192889560595E-5</c:v>
                </c:pt>
                <c:pt idx="73">
                  <c:v>9.701549334653213E-6</c:v>
                </c:pt>
                <c:pt idx="74">
                  <c:v>7.8092626014545442E-6</c:v>
                </c:pt>
                <c:pt idx="75">
                  <c:v>6.272931442508313E-6</c:v>
                </c:pt>
                <c:pt idx="76">
                  <c:v>5.028310952111299E-6</c:v>
                </c:pt>
                <c:pt idx="77">
                  <c:v>4.0222053472536697E-6</c:v>
                </c:pt>
                <c:pt idx="78">
                  <c:v>3.2106749388322911E-6</c:v>
                </c:pt>
                <c:pt idx="79">
                  <c:v>2.5575137861492539E-6</c:v>
                </c:pt>
                <c:pt idx="80">
                  <c:v>2.0329584466448518E-6</c:v>
                </c:pt>
              </c:numCache>
            </c:numRef>
          </c:xVal>
          <c:yVal>
            <c:numRef>
              <c:f>'model 1a'!$A$50:$A$130</c:f>
              <c:numCache>
                <c:formatCode>General</c:formatCode>
                <c:ptCount val="8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  <c:pt idx="21">
                  <c:v>4.2000000000000011</c:v>
                </c:pt>
                <c:pt idx="22">
                  <c:v>4.4000000000000012</c:v>
                </c:pt>
                <c:pt idx="23">
                  <c:v>4.6000000000000014</c:v>
                </c:pt>
                <c:pt idx="24">
                  <c:v>4.8000000000000016</c:v>
                </c:pt>
                <c:pt idx="25">
                  <c:v>5.0000000000000018</c:v>
                </c:pt>
                <c:pt idx="26">
                  <c:v>5.200000000000002</c:v>
                </c:pt>
                <c:pt idx="27">
                  <c:v>5.4000000000000021</c:v>
                </c:pt>
                <c:pt idx="28">
                  <c:v>5.6000000000000023</c:v>
                </c:pt>
                <c:pt idx="29">
                  <c:v>5.8000000000000025</c:v>
                </c:pt>
                <c:pt idx="30">
                  <c:v>6.0000000000000027</c:v>
                </c:pt>
                <c:pt idx="31">
                  <c:v>6.2000000000000028</c:v>
                </c:pt>
                <c:pt idx="32">
                  <c:v>6.400000000000003</c:v>
                </c:pt>
                <c:pt idx="33">
                  <c:v>6.6000000000000032</c:v>
                </c:pt>
                <c:pt idx="34">
                  <c:v>6.8000000000000034</c:v>
                </c:pt>
                <c:pt idx="35">
                  <c:v>7.0000000000000036</c:v>
                </c:pt>
                <c:pt idx="36">
                  <c:v>7.2000000000000037</c:v>
                </c:pt>
                <c:pt idx="37">
                  <c:v>7.4000000000000039</c:v>
                </c:pt>
                <c:pt idx="38">
                  <c:v>7.6000000000000041</c:v>
                </c:pt>
                <c:pt idx="39">
                  <c:v>7.8000000000000043</c:v>
                </c:pt>
                <c:pt idx="40">
                  <c:v>8.0000000000000036</c:v>
                </c:pt>
                <c:pt idx="41">
                  <c:v>8.2000000000000028</c:v>
                </c:pt>
                <c:pt idx="42">
                  <c:v>8.4000000000000021</c:v>
                </c:pt>
                <c:pt idx="43">
                  <c:v>8.6000000000000014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9.3999999999999986</c:v>
                </c:pt>
                <c:pt idx="48">
                  <c:v>9.5999999999999979</c:v>
                </c:pt>
                <c:pt idx="49">
                  <c:v>9.7999999999999972</c:v>
                </c:pt>
                <c:pt idx="50">
                  <c:v>9.9999999999999964</c:v>
                </c:pt>
                <c:pt idx="51">
                  <c:v>10.199999999999996</c:v>
                </c:pt>
                <c:pt idx="52">
                  <c:v>10.399999999999995</c:v>
                </c:pt>
                <c:pt idx="53">
                  <c:v>10.599999999999994</c:v>
                </c:pt>
                <c:pt idx="54">
                  <c:v>10.799999999999994</c:v>
                </c:pt>
                <c:pt idx="55">
                  <c:v>10.999999999999993</c:v>
                </c:pt>
                <c:pt idx="56">
                  <c:v>11.199999999999992</c:v>
                </c:pt>
                <c:pt idx="57">
                  <c:v>11.399999999999991</c:v>
                </c:pt>
                <c:pt idx="58">
                  <c:v>11.599999999999991</c:v>
                </c:pt>
                <c:pt idx="59">
                  <c:v>11.79999999999999</c:v>
                </c:pt>
                <c:pt idx="60">
                  <c:v>11.999999999999989</c:v>
                </c:pt>
                <c:pt idx="61">
                  <c:v>12.199999999999989</c:v>
                </c:pt>
                <c:pt idx="62">
                  <c:v>12.399999999999988</c:v>
                </c:pt>
                <c:pt idx="63">
                  <c:v>12.599999999999987</c:v>
                </c:pt>
                <c:pt idx="64">
                  <c:v>12.799999999999986</c:v>
                </c:pt>
                <c:pt idx="65">
                  <c:v>12.999999999999986</c:v>
                </c:pt>
                <c:pt idx="66">
                  <c:v>13.199999999999985</c:v>
                </c:pt>
                <c:pt idx="67">
                  <c:v>13.399999999999984</c:v>
                </c:pt>
                <c:pt idx="68">
                  <c:v>13.599999999999984</c:v>
                </c:pt>
                <c:pt idx="69">
                  <c:v>13.799999999999983</c:v>
                </c:pt>
                <c:pt idx="70">
                  <c:v>13.999999999999982</c:v>
                </c:pt>
                <c:pt idx="71">
                  <c:v>14.199999999999982</c:v>
                </c:pt>
                <c:pt idx="72">
                  <c:v>14.399999999999981</c:v>
                </c:pt>
                <c:pt idx="73">
                  <c:v>14.59999999999998</c:v>
                </c:pt>
                <c:pt idx="74">
                  <c:v>14.799999999999979</c:v>
                </c:pt>
                <c:pt idx="75">
                  <c:v>14.999999999999979</c:v>
                </c:pt>
                <c:pt idx="76">
                  <c:v>15.199999999999978</c:v>
                </c:pt>
                <c:pt idx="77">
                  <c:v>15.399999999999977</c:v>
                </c:pt>
                <c:pt idx="78">
                  <c:v>15.599999999999977</c:v>
                </c:pt>
                <c:pt idx="79">
                  <c:v>15.799999999999976</c:v>
                </c:pt>
                <c:pt idx="80">
                  <c:v>15.999999999999975</c:v>
                </c:pt>
              </c:numCache>
            </c:numRef>
          </c:yVal>
          <c:smooth val="1"/>
        </c:ser>
        <c:axId val="105789312"/>
        <c:axId val="105799680"/>
      </c:scatterChart>
      <c:valAx>
        <c:axId val="105789312"/>
        <c:scaling>
          <c:orientation val="minMax"/>
          <c:min val="0"/>
        </c:scaling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(mg/L)</a:t>
                </a:r>
              </a:p>
            </c:rich>
          </c:tx>
          <c:layout>
            <c:manualLayout>
              <c:xMode val="edge"/>
              <c:yMode val="edge"/>
              <c:x val="0.33312106729017077"/>
              <c:y val="3.6053010152254553E-2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5799680"/>
        <c:crosses val="autoZero"/>
        <c:crossBetween val="midCat"/>
      </c:valAx>
      <c:valAx>
        <c:axId val="105799680"/>
        <c:scaling>
          <c:orientation val="maxMin"/>
          <c:min val="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depth(m)</a:t>
                </a:r>
              </a:p>
            </c:rich>
          </c:tx>
          <c:layout>
            <c:manualLayout>
              <c:xMode val="edge"/>
              <c:yMode val="edge"/>
              <c:x val="1.9762825885970687E-2"/>
              <c:y val="0.48220942180885157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5789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84731088478533"/>
          <c:y val="0.36503691846258562"/>
          <c:w val="0.17751836697268741"/>
          <c:h val="0.2726511535051406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>
        <c:manualLayout>
          <c:layoutTarget val="inner"/>
          <c:xMode val="edge"/>
          <c:yMode val="edge"/>
          <c:x val="0.19999540482957395"/>
          <c:y val="8.8424920692994013E-2"/>
          <c:w val="0.58621663681488667"/>
          <c:h val="0.79355654617549254"/>
        </c:manualLayout>
      </c:layout>
      <c:scatterChart>
        <c:scatterStyle val="smoothMarker"/>
        <c:ser>
          <c:idx val="0"/>
          <c:order val="0"/>
          <c:tx>
            <c:v>fracture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'model 1a'!$B$50:$B$130</c:f>
              <c:numCache>
                <c:formatCode>General</c:formatCode>
                <c:ptCount val="8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</c:numCache>
            </c:numRef>
          </c:xVal>
          <c:yVal>
            <c:numRef>
              <c:f>'model 1a'!$E$50:$E$130</c:f>
              <c:numCache>
                <c:formatCode>0.00</c:formatCode>
                <c:ptCount val="81"/>
                <c:pt idx="0">
                  <c:v>0</c:v>
                </c:pt>
                <c:pt idx="1">
                  <c:v>1.5377890979005659E-2</c:v>
                </c:pt>
                <c:pt idx="2">
                  <c:v>3.060914981941254E-2</c:v>
                </c:pt>
                <c:pt idx="3">
                  <c:v>4.5549132275749082E-2</c:v>
                </c:pt>
                <c:pt idx="4">
                  <c:v>6.0057984650317087E-2</c:v>
                </c:pt>
                <c:pt idx="5">
                  <c:v>7.4002903323827196E-2</c:v>
                </c:pt>
                <c:pt idx="6">
                  <c:v>8.7260227516350319E-2</c:v>
                </c:pt>
                <c:pt idx="7">
                  <c:v>9.9717317739435929E-2</c:v>
                </c:pt>
                <c:pt idx="8">
                  <c:v>0.111274179043928</c:v>
                </c:pt>
                <c:pt idx="9">
                  <c:v>0.12184479597783526</c:v>
                </c:pt>
                <c:pt idx="10">
                  <c:v>0.13135815484553537</c:v>
                </c:pt>
                <c:pt idx="11">
                  <c:v>0.1397589380772335</c:v>
                </c:pt>
                <c:pt idx="12">
                  <c:v>0.14700788493689521</c:v>
                </c:pt>
                <c:pt idx="13">
                  <c:v>0.15308182208126664</c:v>
                </c:pt>
                <c:pt idx="14">
                  <c:v>0.15797337631219688</c:v>
                </c:pt>
                <c:pt idx="15">
                  <c:v>0.16169038994941309</c:v>
                </c:pt>
                <c:pt idx="16">
                  <c:v>0.16425506634232234</c:v>
                </c:pt>
                <c:pt idx="17">
                  <c:v>0.16570287893846558</c:v>
                </c:pt>
                <c:pt idx="18">
                  <c:v>0.16608128188997728</c:v>
                </c:pt>
                <c:pt idx="19">
                  <c:v>0.1654482633240062</c:v>
                </c:pt>
                <c:pt idx="20">
                  <c:v>0.16387078410398437</c:v>
                </c:pt>
                <c:pt idx="21">
                  <c:v>0.16142314519827416</c:v>
                </c:pt>
                <c:pt idx="22">
                  <c:v>0.15818532573500321</c:v>
                </c:pt>
                <c:pt idx="23">
                  <c:v>0.15424133158569786</c:v>
                </c:pt>
                <c:pt idx="24">
                  <c:v>0.149677591050426</c:v>
                </c:pt>
                <c:pt idx="25">
                  <c:v>0.14458143010488844</c:v>
                </c:pt>
                <c:pt idx="26">
                  <c:v>0.13903965492295578</c:v>
                </c:pt>
                <c:pt idx="27">
                  <c:v>0.13313726422045402</c:v>
                </c:pt>
                <c:pt idx="28">
                  <c:v>0.12695630858863716</c:v>
                </c:pt>
                <c:pt idx="29">
                  <c:v>0.12057490859801945</c:v>
                </c:pt>
                <c:pt idx="30">
                  <c:v>0.11406643823589802</c:v>
                </c:pt>
                <c:pt idx="31">
                  <c:v>0.10749887535040981</c:v>
                </c:pt>
                <c:pt idx="32">
                  <c:v>0.10093431633865535</c:v>
                </c:pt>
                <c:pt idx="33">
                  <c:v>9.4428648434054185E-2</c:v>
                </c:pt>
                <c:pt idx="34">
                  <c:v>8.8031369685404259E-2</c:v>
                </c:pt>
                <c:pt idx="35">
                  <c:v>8.1785544113552211E-2</c:v>
                </c:pt>
                <c:pt idx="36">
                  <c:v>7.5727877589237824E-2</c:v>
                </c:pt>
                <c:pt idx="37">
                  <c:v>6.9888898680661171E-2</c:v>
                </c:pt>
                <c:pt idx="38">
                  <c:v>6.4293228033256433E-2</c:v>
                </c:pt>
                <c:pt idx="39">
                  <c:v>5.8959919711605968E-2</c:v>
                </c:pt>
                <c:pt idx="40">
                  <c:v>5.3902858286344779E-2</c:v>
                </c:pt>
                <c:pt idx="41">
                  <c:v>4.9131196210955741E-2</c:v>
                </c:pt>
                <c:pt idx="42">
                  <c:v>4.4649817124231106E-2</c:v>
                </c:pt>
                <c:pt idx="43">
                  <c:v>4.0459812053100119E-2</c:v>
                </c:pt>
                <c:pt idx="44">
                  <c:v>3.6558956999800607E-2</c:v>
                </c:pt>
                <c:pt idx="45">
                  <c:v>3.2942182004706E-2</c:v>
                </c:pt>
                <c:pt idx="46">
                  <c:v>2.9602023416710477E-2</c:v>
                </c:pt>
                <c:pt idx="47">
                  <c:v>2.6529052721087742E-2</c:v>
                </c:pt>
                <c:pt idx="48">
                  <c:v>2.3712276823792733E-2</c:v>
                </c:pt>
                <c:pt idx="49">
                  <c:v>2.1139506134797648E-2</c:v>
                </c:pt>
                <c:pt idx="50">
                  <c:v>1.8797688104520205E-2</c:v>
                </c:pt>
                <c:pt idx="51">
                  <c:v>1.667320502858316E-2</c:v>
                </c:pt>
                <c:pt idx="52">
                  <c:v>1.4752135937646571E-2</c:v>
                </c:pt>
                <c:pt idx="53">
                  <c:v>1.3020483227986768E-2</c:v>
                </c:pt>
                <c:pt idx="54">
                  <c:v>1.1464365368262674E-2</c:v>
                </c:pt>
                <c:pt idx="55">
                  <c:v>1.0070177546559034E-2</c:v>
                </c:pt>
                <c:pt idx="56">
                  <c:v>8.8247225107265237E-3</c:v>
                </c:pt>
                <c:pt idx="57">
                  <c:v>7.7153141184203022E-3</c:v>
                </c:pt>
                <c:pt idx="58">
                  <c:v>6.7298562665341066E-3</c:v>
                </c:pt>
                <c:pt idx="59">
                  <c:v>5.8568999289234647E-3</c:v>
                </c:pt>
                <c:pt idx="60">
                  <c:v>5.0856810126493901E-3</c:v>
                </c:pt>
                <c:pt idx="61">
                  <c:v>4.4061416615843729E-3</c:v>
                </c:pt>
                <c:pt idx="62">
                  <c:v>3.8089375068430797E-3</c:v>
                </c:pt>
                <c:pt idx="63">
                  <c:v>3.285433198286114E-3</c:v>
                </c:pt>
                <c:pt idx="64">
                  <c:v>2.8276883630180549E-3</c:v>
                </c:pt>
                <c:pt idx="65">
                  <c:v>2.4284359337651829E-3</c:v>
                </c:pt>
                <c:pt idx="66">
                  <c:v>2.0810545812572911E-3</c:v>
                </c:pt>
                <c:pt idx="67">
                  <c:v>1.7795367776722859E-3</c:v>
                </c:pt>
                <c:pt idx="68">
                  <c:v>1.5184538153283356E-3</c:v>
                </c:pt>
                <c:pt idx="69">
                  <c:v>1.2929189152717235E-3</c:v>
                </c:pt>
                <c:pt idx="70">
                  <c:v>1.0985493777226907E-3</c:v>
                </c:pt>
                <c:pt idx="71">
                  <c:v>9.3142856926498041E-4</c:v>
                </c:pt>
                <c:pt idx="72">
                  <c:v>7.8806838289180448E-4</c:v>
                </c:pt>
                <c:pt idx="73">
                  <c:v>6.6537268798549931E-4</c:v>
                </c:pt>
                <c:pt idx="74">
                  <c:v>5.6060215203634911E-4</c:v>
                </c:pt>
                <c:pt idx="75">
                  <c:v>4.713407445504636E-4</c:v>
                </c:pt>
                <c:pt idx="76">
                  <c:v>3.9546410499368822E-4</c:v>
                </c:pt>
                <c:pt idx="77">
                  <c:v>3.3110992841050121E-4</c:v>
                </c:pt>
                <c:pt idx="78">
                  <c:v>2.7665042425193418E-4</c:v>
                </c:pt>
                <c:pt idx="79">
                  <c:v>2.3066687738583063E-4</c:v>
                </c:pt>
                <c:pt idx="80">
                  <c:v>1.9192628840709205E-4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'model 1a'!$F$49</c:f>
              <c:strCache>
                <c:ptCount val="1"/>
                <c:pt idx="0">
                  <c:v>0.1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1a'!$B$50:$B$130</c:f>
              <c:numCache>
                <c:formatCode>General</c:formatCode>
                <c:ptCount val="8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</c:numCache>
            </c:numRef>
          </c:xVal>
          <c:yVal>
            <c:numRef>
              <c:f>'model 1a'!$F$50:$F$130</c:f>
              <c:numCache>
                <c:formatCode>0.00</c:formatCode>
                <c:ptCount val="81"/>
                <c:pt idx="0">
                  <c:v>6.5426493701378652E-2</c:v>
                </c:pt>
                <c:pt idx="1">
                  <c:v>7.9123370732833154E-2</c:v>
                </c:pt>
                <c:pt idx="2">
                  <c:v>9.2088532669536205E-2</c:v>
                </c:pt>
                <c:pt idx="3">
                  <c:v>0.10421397840451951</c:v>
                </c:pt>
                <c:pt idx="4">
                  <c:v>0.11540489222411998</c:v>
                </c:pt>
                <c:pt idx="5">
                  <c:v>0.12558086219082076</c:v>
                </c:pt>
                <c:pt idx="6">
                  <c:v>0.13467677901031716</c:v>
                </c:pt>
                <c:pt idx="7">
                  <c:v>0.14264340376620321</c:v>
                </c:pt>
                <c:pt idx="8">
                  <c:v>0.14944760231063769</c:v>
                </c:pt>
                <c:pt idx="9">
                  <c:v>0.15507225324525686</c:v>
                </c:pt>
                <c:pt idx="10">
                  <c:v>0.15951584500362914</c:v>
                </c:pt>
                <c:pt idx="11">
                  <c:v>0.16279178527921645</c:v>
                </c:pt>
                <c:pt idx="12">
                  <c:v>0.16492745270052356</c:v>
                </c:pt>
                <c:pt idx="13">
                  <c:v>0.16596302605961988</c:v>
                </c:pt>
                <c:pt idx="14">
                  <c:v>0.16595013043093632</c:v>
                </c:pt>
                <c:pt idx="15">
                  <c:v>0.16495034211295501</c:v>
                </c:pt>
                <c:pt idx="16">
                  <c:v>0.16303359548366614</c:v>
                </c:pt>
                <c:pt idx="17">
                  <c:v>0.16027653463403513</c:v>
                </c:pt>
                <c:pt idx="18">
                  <c:v>0.15676085113421068</c:v>
                </c:pt>
                <c:pt idx="19">
                  <c:v>0.15257164663823963</c:v>
                </c:pt>
                <c:pt idx="20">
                  <c:v>0.14779585542067375</c:v>
                </c:pt>
                <c:pt idx="21">
                  <c:v>0.14252075756136584</c:v>
                </c:pt>
                <c:pt idx="22">
                  <c:v>0.13683260856401214</c:v>
                </c:pt>
                <c:pt idx="23">
                  <c:v>0.13081540592360108</c:v>
                </c:pt>
                <c:pt idx="24">
                  <c:v>0.12454980775519564</c:v>
                </c:pt>
                <c:pt idx="25">
                  <c:v>0.11811221325450338</c:v>
                </c:pt>
                <c:pt idx="26">
                  <c:v>0.11157400965151387</c:v>
                </c:pt>
                <c:pt idx="27">
                  <c:v>0.10500098558821502</c:v>
                </c:pt>
                <c:pt idx="28">
                  <c:v>9.8452906616904645E-2</c:v>
                </c:pt>
                <c:pt idx="29">
                  <c:v>9.1983244862916091E-2</c:v>
                </c:pt>
                <c:pt idx="30">
                  <c:v>8.563905187964127E-2</c:v>
                </c:pt>
                <c:pt idx="31">
                  <c:v>7.9460961370059868E-2</c:v>
                </c:pt>
                <c:pt idx="32">
                  <c:v>7.3483306755687483E-2</c:v>
                </c:pt>
                <c:pt idx="33">
                  <c:v>6.7734337515493293E-2</c:v>
                </c:pt>
                <c:pt idx="34">
                  <c:v>6.2236517748551323E-2</c:v>
                </c:pt>
                <c:pt idx="35">
                  <c:v>5.7006890474172511E-2</c:v>
                </c:pt>
                <c:pt idx="36">
                  <c:v>5.2057491700500336E-2</c:v>
                </c:pt>
                <c:pt idx="37">
                  <c:v>4.7395799188558296E-2</c:v>
                </c:pt>
                <c:pt idx="38">
                  <c:v>4.3025202032785703E-2</c:v>
                </c:pt>
                <c:pt idx="39">
                  <c:v>3.8945478591190907E-2</c:v>
                </c:pt>
                <c:pt idx="40">
                  <c:v>3.515327185248851E-2</c:v>
                </c:pt>
                <c:pt idx="41">
                  <c:v>3.1642552954317615E-2</c:v>
                </c:pt>
                <c:pt idx="42">
                  <c:v>2.8405065204430091E-2</c:v>
                </c:pt>
                <c:pt idx="43">
                  <c:v>2.5430742553155916E-2</c:v>
                </c:pt>
                <c:pt idx="44">
                  <c:v>2.2708097978034081E-2</c:v>
                </c:pt>
                <c:pt idx="45">
                  <c:v>2.0224578637380919E-2</c:v>
                </c:pt>
                <c:pt idx="46">
                  <c:v>1.7966885905510654E-2</c:v>
                </c:pt>
                <c:pt idx="47">
                  <c:v>1.5921259503478336E-2</c:v>
                </c:pt>
                <c:pt idx="48">
                  <c:v>1.4073725878940069E-2</c:v>
                </c:pt>
                <c:pt idx="49">
                  <c:v>1.2410311766507753E-2</c:v>
                </c:pt>
                <c:pt idx="50">
                  <c:v>1.0917224481250543E-2</c:v>
                </c:pt>
                <c:pt idx="51">
                  <c:v>9.5810009720671552E-3</c:v>
                </c:pt>
                <c:pt idx="52">
                  <c:v>8.3886280013196757E-3</c:v>
                </c:pt>
                <c:pt idx="53">
                  <c:v>7.3276360367218185E-3</c:v>
                </c:pt>
                <c:pt idx="54">
                  <c:v>6.386169557379473E-3</c:v>
                </c:pt>
                <c:pt idx="55">
                  <c:v>5.5530365036622342E-3</c:v>
                </c:pt>
                <c:pt idx="56">
                  <c:v>4.8177395563324676E-3</c:v>
                </c:pt>
                <c:pt idx="57">
                  <c:v>4.1704918295197846E-3</c:v>
                </c:pt>
                <c:pt idx="58">
                  <c:v>3.6022194170399757E-3</c:v>
                </c:pt>
                <c:pt idx="59">
                  <c:v>3.1045530575459779E-3</c:v>
                </c:pt>
                <c:pt idx="60">
                  <c:v>2.6698109877956178E-3</c:v>
                </c:pt>
                <c:pt idx="61">
                  <c:v>2.2909748480433034E-3</c:v>
                </c:pt>
                <c:pt idx="62">
                  <c:v>1.9616602949226181E-3</c:v>
                </c:pt>
                <c:pt idx="63">
                  <c:v>1.6760837703089226E-3</c:v>
                </c:pt>
                <c:pt idx="64">
                  <c:v>1.4290266774044103E-3</c:v>
                </c:pt>
                <c:pt idx="65">
                  <c:v>1.215798027579984E-3</c:v>
                </c:pt>
                <c:pt idx="66">
                  <c:v>1.0321964495003666E-3</c:v>
                </c:pt>
                <c:pt idx="67">
                  <c:v>8.7447228987236336E-4</c:v>
                </c:pt>
                <c:pt idx="68">
                  <c:v>7.3929040173292826E-4</c:v>
                </c:pt>
                <c:pt idx="69">
                  <c:v>6.2369407439000213E-4</c:v>
                </c:pt>
                <c:pt idx="70">
                  <c:v>5.2507046979610728E-4</c:v>
                </c:pt>
                <c:pt idx="71">
                  <c:v>4.4111781464728494E-4</c:v>
                </c:pt>
                <c:pt idx="72">
                  <c:v>3.698145230430004E-4</c:v>
                </c:pt>
                <c:pt idx="73">
                  <c:v>3.0939036374734392E-4</c:v>
                </c:pt>
                <c:pt idx="74">
                  <c:v>2.5829972166885372E-4</c:v>
                </c:pt>
                <c:pt idx="75">
                  <c:v>2.151969500394869E-4</c:v>
                </c:pt>
                <c:pt idx="76">
                  <c:v>1.7891378950345594E-4</c:v>
                </c:pt>
                <c:pt idx="77">
                  <c:v>1.4843878881328293E-4</c:v>
                </c:pt>
                <c:pt idx="78">
                  <c:v>1.2289864489206924E-4</c:v>
                </c:pt>
                <c:pt idx="79">
                  <c:v>1.015413633880357E-4</c:v>
                </c:pt>
                <c:pt idx="80">
                  <c:v>8.3721130554793505E-5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'model 1a'!$G$49</c:f>
              <c:strCache>
                <c:ptCount val="1"/>
                <c:pt idx="0">
                  <c:v>0.2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'model 1a'!$B$50:$B$130</c:f>
              <c:numCache>
                <c:formatCode>General</c:formatCode>
                <c:ptCount val="8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</c:numCache>
            </c:numRef>
          </c:xVal>
          <c:yVal>
            <c:numRef>
              <c:f>'model 1a'!$G$50:$G$130</c:f>
              <c:numCache>
                <c:formatCode>0.00</c:formatCode>
                <c:ptCount val="81"/>
                <c:pt idx="0">
                  <c:v>0.11938853665883564</c:v>
                </c:pt>
                <c:pt idx="1">
                  <c:v>0.12916052802197941</c:v>
                </c:pt>
                <c:pt idx="2">
                  <c:v>0.13783196820784527</c:v>
                </c:pt>
                <c:pt idx="3">
                  <c:v>0.14535972911793626</c:v>
                </c:pt>
                <c:pt idx="4">
                  <c:v>0.15171678819057077</c:v>
                </c:pt>
                <c:pt idx="5">
                  <c:v>0.15689201609205661</c:v>
                </c:pt>
                <c:pt idx="6">
                  <c:v>0.16088966153190709</c:v>
                </c:pt>
                <c:pt idx="7">
                  <c:v>0.16372855910612039</c:v>
                </c:pt>
                <c:pt idx="8">
                  <c:v>0.16544109227101744</c:v>
                </c:pt>
                <c:pt idx="9">
                  <c:v>0.1660719484429527</c:v>
                </c:pt>
                <c:pt idx="10">
                  <c:v>0.16567670670839019</c:v>
                </c:pt>
                <c:pt idx="11">
                  <c:v>0.16432030067561154</c:v>
                </c:pt>
                <c:pt idx="12">
                  <c:v>0.16207539962279083</c:v>
                </c:pt>
                <c:pt idx="13">
                  <c:v>0.15902075036936636</c:v>
                </c:pt>
                <c:pt idx="14">
                  <c:v>0.15523952033723365</c:v>
                </c:pt>
                <c:pt idx="15">
                  <c:v>0.15081767923226796</c:v>
                </c:pt>
                <c:pt idx="16">
                  <c:v>0.14584245285070652</c:v>
                </c:pt>
                <c:pt idx="17">
                  <c:v>0.14040087790356948</c:v>
                </c:pt>
                <c:pt idx="18">
                  <c:v>0.13457848166883712</c:v>
                </c:pt>
                <c:pt idx="19">
                  <c:v>0.12845810493788368</c:v>
                </c:pt>
                <c:pt idx="20">
                  <c:v>0.12211888132248672</c:v>
                </c:pt>
                <c:pt idx="21">
                  <c:v>0.11563538071729584</c:v>
                </c:pt>
                <c:pt idx="22">
                  <c:v>0.10907691973266154</c:v>
                </c:pt>
                <c:pt idx="23">
                  <c:v>0.10250703735937194</c:v>
                </c:pt>
                <c:pt idx="24">
                  <c:v>9.5983130105513847E-2</c:v>
                </c:pt>
                <c:pt idx="25">
                  <c:v>8.955623743033847E-2</c:v>
                </c:pt>
                <c:pt idx="26">
                  <c:v>8.3270965534415708E-2</c:v>
                </c:pt>
                <c:pt idx="27">
                  <c:v>7.7165535464098323E-2</c:v>
                </c:pt>
                <c:pt idx="28">
                  <c:v>7.1271940040291692E-2</c:v>
                </c:pt>
                <c:pt idx="29">
                  <c:v>6.5616193293100089E-2</c:v>
                </c:pt>
                <c:pt idx="30">
                  <c:v>6.021865582352337E-2</c:v>
                </c:pt>
                <c:pt idx="31">
                  <c:v>5.5094419755526536E-2</c:v>
                </c:pt>
                <c:pt idx="32">
                  <c:v>5.0253737611884564E-2</c:v>
                </c:pt>
                <c:pt idx="33">
                  <c:v>4.570248046553127E-2</c:v>
                </c:pt>
                <c:pt idx="34">
                  <c:v>4.1442612003792068E-2</c:v>
                </c:pt>
                <c:pt idx="35">
                  <c:v>3.7472666617125006E-2</c:v>
                </c:pt>
                <c:pt idx="36">
                  <c:v>3.3788221213219449E-2</c:v>
                </c:pt>
                <c:pt idx="37">
                  <c:v>3.0382352094551424E-2</c:v>
                </c:pt>
                <c:pt idx="38">
                  <c:v>2.7246069864961919E-2</c:v>
                </c:pt>
                <c:pt idx="39">
                  <c:v>2.4368726899570703E-2</c:v>
                </c:pt>
                <c:pt idx="40">
                  <c:v>2.173839338375072E-2</c:v>
                </c:pt>
                <c:pt idx="41">
                  <c:v>1.9342199271736193E-2</c:v>
                </c:pt>
                <c:pt idx="42">
                  <c:v>1.7166640713718984E-2</c:v>
                </c:pt>
                <c:pt idx="43">
                  <c:v>1.5197850540590974E-2</c:v>
                </c:pt>
                <c:pt idx="44">
                  <c:v>1.3421833273315364E-2</c:v>
                </c:pt>
                <c:pt idx="45">
                  <c:v>1.1824665841409399E-2</c:v>
                </c:pt>
                <c:pt idx="46">
                  <c:v>1.0392665759181741E-2</c:v>
                </c:pt>
                <c:pt idx="47">
                  <c:v>9.112528929736019E-3</c:v>
                </c:pt>
                <c:pt idx="48">
                  <c:v>7.9714395391030646E-3</c:v>
                </c:pt>
                <c:pt idx="49">
                  <c:v>6.9571546814348739E-3</c:v>
                </c:pt>
                <c:pt idx="50">
                  <c:v>6.0580664364864312E-3</c:v>
                </c:pt>
                <c:pt idx="51">
                  <c:v>5.2632441195998858E-3</c:v>
                </c:pt>
                <c:pt idx="52">
                  <c:v>4.5624593568149852E-3</c:v>
                </c:pt>
                <c:pt idx="53">
                  <c:v>3.9461965188463122E-3</c:v>
                </c:pt>
                <c:pt idx="54">
                  <c:v>3.4056508899520388E-3</c:v>
                </c:pt>
                <c:pt idx="55">
                  <c:v>2.9327167645327723E-3</c:v>
                </c:pt>
                <c:pt idx="56">
                  <c:v>2.5199674632530034E-3</c:v>
                </c:pt>
                <c:pt idx="57">
                  <c:v>2.1606290537863337E-3</c:v>
                </c:pt>
                <c:pt idx="58">
                  <c:v>1.8485493517514939E-3</c:v>
                </c:pt>
                <c:pt idx="59">
                  <c:v>1.5781635750893308E-3</c:v>
                </c:pt>
                <c:pt idx="60">
                  <c:v>1.3444578298125176E-3</c:v>
                </c:pt>
                <c:pt idx="61">
                  <c:v>1.1429314236899302E-3</c:v>
                </c:pt>
                <c:pt idx="62">
                  <c:v>9.6955883602656279E-4</c:v>
                </c:pt>
                <c:pt idx="63">
                  <c:v>8.2075202189657581E-4</c:v>
                </c:pt>
                <c:pt idx="64">
                  <c:v>6.9332358620988188E-4</c:v>
                </c:pt>
                <c:pt idx="65">
                  <c:v>5.844512558221826E-4</c:v>
                </c:pt>
                <c:pt idx="66">
                  <c:v>4.9164395515211012E-4</c:v>
                </c:pt>
                <c:pt idx="67">
                  <c:v>4.1270971814033608E-4</c:v>
                </c:pt>
                <c:pt idx="68">
                  <c:v>3.4572557744279775E-4</c:v>
                </c:pt>
                <c:pt idx="69">
                  <c:v>2.8900952821175505E-4</c:v>
                </c:pt>
                <c:pt idx="70">
                  <c:v>2.4109458086668618E-4</c:v>
                </c:pt>
                <c:pt idx="71">
                  <c:v>2.0070490676411237E-4</c:v>
                </c:pt>
                <c:pt idx="72">
                  <c:v>1.6673402530092681E-4</c:v>
                </c:pt>
                <c:pt idx="73">
                  <c:v>1.3822496423191203E-4</c:v>
                </c:pt>
                <c:pt idx="74">
                  <c:v>1.1435230313406539E-4</c:v>
                </c:pt>
                <c:pt idx="75">
                  <c:v>9.4405996835920206E-5</c:v>
                </c:pt>
                <c:pt idx="76">
                  <c:v>7.7776866704549216E-5</c:v>
                </c:pt>
                <c:pt idx="77">
                  <c:v>6.3943642232539266E-5</c:v>
                </c:pt>
                <c:pt idx="78">
                  <c:v>5.2461434161776583E-5</c:v>
                </c:pt>
                <c:pt idx="79">
                  <c:v>4.2951520497301627E-5</c:v>
                </c:pt>
                <c:pt idx="80">
                  <c:v>3.5092329468846921E-5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'model 1a'!$H$49</c:f>
              <c:strCache>
                <c:ptCount val="1"/>
                <c:pt idx="0">
                  <c:v>0.3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1a'!$B$50:$B$130</c:f>
              <c:numCache>
                <c:formatCode>General</c:formatCode>
                <c:ptCount val="8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</c:numCache>
            </c:numRef>
          </c:xVal>
          <c:yVal>
            <c:numRef>
              <c:f>'model 1a'!$H$50:$H$130</c:f>
              <c:numCache>
                <c:formatCode>0.00</c:formatCode>
                <c:ptCount val="81"/>
                <c:pt idx="0">
                  <c:v>0.153815143836187</c:v>
                </c:pt>
                <c:pt idx="1">
                  <c:v>0.15854164332464915</c:v>
                </c:pt>
                <c:pt idx="2">
                  <c:v>0.16209614130817407</c:v>
                </c:pt>
                <c:pt idx="3">
                  <c:v>0.16450274805545551</c:v>
                </c:pt>
                <c:pt idx="4">
                  <c:v>0.16579867075744703</c:v>
                </c:pt>
                <c:pt idx="5">
                  <c:v>0.16603290037251139</c:v>
                </c:pt>
                <c:pt idx="6">
                  <c:v>0.16526474709035721</c:v>
                </c:pt>
                <c:pt idx="7">
                  <c:v>0.1635622673388486</c:v>
                </c:pt>
                <c:pt idx="8">
                  <c:v>0.16100062535715232</c:v>
                </c:pt>
                <c:pt idx="9">
                  <c:v>0.15766043114712147</c:v>
                </c:pt>
                <c:pt idx="10">
                  <c:v>0.15362609422648199</c:v>
                </c:pt>
                <c:pt idx="11">
                  <c:v>0.14898422921131393</c:v>
                </c:pt>
                <c:pt idx="12">
                  <c:v>0.1438221450454642</c:v>
                </c:pt>
                <c:pt idx="13">
                  <c:v>0.13822644487985403</c:v>
                </c:pt>
                <c:pt idx="14">
                  <c:v>0.13228175839914802</c:v>
                </c:pt>
                <c:pt idx="15">
                  <c:v>0.12606962300652325</c:v>
                </c:pt>
                <c:pt idx="16">
                  <c:v>0.11966752490644561</c:v>
                </c:pt>
                <c:pt idx="17">
                  <c:v>0.11314810594784852</c:v>
                </c:pt>
                <c:pt idx="18">
                  <c:v>0.10657853725873045</c:v>
                </c:pt>
                <c:pt idx="19">
                  <c:v>0.10002005634187361</c:v>
                </c:pt>
                <c:pt idx="20">
                  <c:v>9.3527660503629928E-2</c:v>
                </c:pt>
                <c:pt idx="21">
                  <c:v>8.7149946316068982E-2</c:v>
                </c:pt>
                <c:pt idx="22">
                  <c:v>8.0929082299281196E-2</c:v>
                </c:pt>
                <c:pt idx="23">
                  <c:v>7.4900900160193906E-2</c:v>
                </c:pt>
                <c:pt idx="24">
                  <c:v>6.9095088716364383E-2</c:v>
                </c:pt>
                <c:pt idx="25">
                  <c:v>6.3535474027243133E-2</c:v>
                </c:pt>
                <c:pt idx="26">
                  <c:v>5.8240369193820918E-2</c:v>
                </c:pt>
                <c:pt idx="27">
                  <c:v>5.3222977700979612E-2</c:v>
                </c:pt>
                <c:pt idx="28">
                  <c:v>4.8491834988325655E-2</c:v>
                </c:pt>
                <c:pt idx="29">
                  <c:v>4.4051274064133006E-2</c:v>
                </c:pt>
                <c:pt idx="30">
                  <c:v>3.9901902342917683E-2</c:v>
                </c:pt>
                <c:pt idx="31">
                  <c:v>3.6041078412996752E-2</c:v>
                </c:pt>
                <c:pt idx="32">
                  <c:v>3.2463379054846531E-2</c:v>
                </c:pt>
                <c:pt idx="33">
                  <c:v>2.9161048470643269E-2</c:v>
                </c:pt>
                <c:pt idx="34">
                  <c:v>2.6124423295402988E-2</c:v>
                </c:pt>
                <c:pt idx="35">
                  <c:v>2.3342328495734588E-2</c:v>
                </c:pt>
                <c:pt idx="36">
                  <c:v>2.080244068828363E-2</c:v>
                </c:pt>
                <c:pt idx="37">
                  <c:v>1.8491616700875291E-2</c:v>
                </c:pt>
                <c:pt idx="38">
                  <c:v>1.6396186338529795E-2</c:v>
                </c:pt>
                <c:pt idx="39">
                  <c:v>1.4502209295102375E-2</c:v>
                </c:pt>
                <c:pt idx="40">
                  <c:v>1.2795696967902614E-2</c:v>
                </c:pt>
                <c:pt idx="41">
                  <c:v>1.1262800590656319E-2</c:v>
                </c:pt>
                <c:pt idx="42">
                  <c:v>9.8899676088488597E-3</c:v>
                </c:pt>
                <c:pt idx="43">
                  <c:v>8.6640685922021454E-3</c:v>
                </c:pt>
                <c:pt idx="44">
                  <c:v>7.5724972263777612E-3</c:v>
                </c:pt>
                <c:pt idx="45">
                  <c:v>6.6032460652487579E-3</c:v>
                </c:pt>
                <c:pt idx="46">
                  <c:v>5.7449607732755759E-3</c:v>
                </c:pt>
                <c:pt idx="47">
                  <c:v>4.9869755585900677E-3</c:v>
                </c:pt>
                <c:pt idx="48">
                  <c:v>4.3193324097372532E-3</c:v>
                </c:pt>
                <c:pt idx="49">
                  <c:v>3.7327866132215171E-3</c:v>
                </c:pt>
                <c:pt idx="50">
                  <c:v>3.2188008606974794E-3</c:v>
                </c:pt>
                <c:pt idx="51">
                  <c:v>2.7695300636303433E-3</c:v>
                </c:pt>
                <c:pt idx="52">
                  <c:v>2.3777987893849328E-3</c:v>
                </c:pt>
                <c:pt idx="53">
                  <c:v>2.0370730232215362E-3</c:v>
                </c:pt>
                <c:pt idx="54">
                  <c:v>1.741427755273417E-3</c:v>
                </c:pt>
                <c:pt idx="55">
                  <c:v>1.4855116884828767E-3</c:v>
                </c:pt>
                <c:pt idx="56">
                  <c:v>1.2645101782740031E-3</c:v>
                </c:pt>
                <c:pt idx="57">
                  <c:v>1.0741073297297898E-3</c:v>
                </c:pt>
                <c:pt idx="58">
                  <c:v>9.1044802797046742E-4</c:v>
                </c:pt>
                <c:pt idx="59">
                  <c:v>7.7010051862202999E-4</c:v>
                </c:pt>
                <c:pt idx="60">
                  <c:v>6.5002003424274868E-4</c:v>
                </c:pt>
                <c:pt idx="61">
                  <c:v>5.4751384509477141E-4</c:v>
                </c:pt>
                <c:pt idx="62">
                  <c:v>4.6020801173618509E-4</c:v>
                </c:pt>
                <c:pt idx="63">
                  <c:v>3.8601603706487877E-4</c:v>
                </c:pt>
                <c:pt idx="64">
                  <c:v>3.2310953579232302E-4</c:v>
                </c:pt>
                <c:pt idx="65">
                  <c:v>2.698909903357823E-4</c:v>
                </c:pt>
                <c:pt idx="66">
                  <c:v>2.2496860342282625E-4</c:v>
                </c:pt>
                <c:pt idx="67">
                  <c:v>1.8713322521307738E-4</c:v>
                </c:pt>
                <c:pt idx="68">
                  <c:v>1.5533729936325911E-4</c:v>
                </c:pt>
                <c:pt idx="69">
                  <c:v>1.2867574964797271E-4</c:v>
                </c:pt>
                <c:pt idx="70">
                  <c:v>1.0636871192424357E-4</c:v>
                </c:pt>
                <c:pt idx="71">
                  <c:v>8.7746004144197365E-5</c:v>
                </c:pt>
                <c:pt idx="72">
                  <c:v>7.2233220038409908E-5</c:v>
                </c:pt>
                <c:pt idx="73">
                  <c:v>5.9339327914973199E-5</c:v>
                </c:pt>
                <c:pt idx="74">
                  <c:v>4.8645655810812278E-5</c:v>
                </c:pt>
                <c:pt idx="75">
                  <c:v>3.9796145023421565E-5</c:v>
                </c:pt>
                <c:pt idx="76">
                  <c:v>3.2488757979554256E-5</c:v>
                </c:pt>
                <c:pt idx="77">
                  <c:v>2.6467930899096742E-5</c:v>
                </c:pt>
                <c:pt idx="78">
                  <c:v>2.1517966844946048E-5</c:v>
                </c:pt>
                <c:pt idx="79">
                  <c:v>1.7457272458868586E-5</c:v>
                </c:pt>
                <c:pt idx="80">
                  <c:v>1.4133345775181962E-5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'model 1a'!$J$49</c:f>
              <c:strCache>
                <c:ptCount val="1"/>
                <c:pt idx="0">
                  <c:v>0.5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1a'!$B$50:$B$130</c:f>
              <c:numCache>
                <c:formatCode>General</c:formatCode>
                <c:ptCount val="8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</c:numCache>
            </c:numRef>
          </c:xVal>
          <c:yVal>
            <c:numRef>
              <c:f>'model 1a'!$J$50:$J$130</c:f>
              <c:numCache>
                <c:formatCode>0.00</c:formatCode>
                <c:ptCount val="81"/>
                <c:pt idx="0">
                  <c:v>0.15851949274862953</c:v>
                </c:pt>
                <c:pt idx="1">
                  <c:v>0.15464501029888322</c:v>
                </c:pt>
                <c:pt idx="2">
                  <c:v>0.15014210684025819</c:v>
                </c:pt>
                <c:pt idx="3">
                  <c:v>0.14509803868556514</c:v>
                </c:pt>
                <c:pt idx="4">
                  <c:v>0.13959968267342848</c:v>
                </c:pt>
                <c:pt idx="5">
                  <c:v>0.1337322352325836</c:v>
                </c:pt>
                <c:pt idx="6">
                  <c:v>0.12757805679023804</c:v>
                </c:pt>
                <c:pt idx="7">
                  <c:v>0.12121567384404308</c:v>
                </c:pt>
                <c:pt idx="8">
                  <c:v>0.11471894578045938</c:v>
                </c:pt>
                <c:pt idx="9">
                  <c:v>0.10815639859703041</c:v>
                </c:pt>
                <c:pt idx="10">
                  <c:v>0.10159072320357776</c:v>
                </c:pt>
                <c:pt idx="11">
                  <c:v>9.5078432038353311E-2</c:v>
                </c:pt>
                <c:pt idx="12">
                  <c:v>8.8669664409680937E-2</c:v>
                </c:pt>
                <c:pt idx="13">
                  <c:v>8.2408128300928807E-2</c:v>
                </c:pt>
                <c:pt idx="14">
                  <c:v>7.6331164367813287E-2</c:v>
                </c:pt>
                <c:pt idx="15">
                  <c:v>7.046991649752754E-2</c:v>
                </c:pt>
                <c:pt idx="16">
                  <c:v>6.4849592552701729E-2</c:v>
                </c:pt>
                <c:pt idx="17">
                  <c:v>5.9489798736100941E-2</c:v>
                </c:pt>
                <c:pt idx="18">
                  <c:v>5.4404931317183047E-2</c:v>
                </c:pt>
                <c:pt idx="19">
                  <c:v>4.9604610183848541E-2</c:v>
                </c:pt>
                <c:pt idx="20">
                  <c:v>4.5094139741719719E-2</c:v>
                </c:pt>
                <c:pt idx="21">
                  <c:v>4.0874983998524295E-2</c:v>
                </c:pt>
                <c:pt idx="22">
                  <c:v>3.6945244164385382E-2</c:v>
                </c:pt>
                <c:pt idx="23">
                  <c:v>3.3300128697356213E-2</c:v>
                </c:pt>
                <c:pt idx="24">
                  <c:v>2.9932407361600077E-2</c:v>
                </c:pt>
                <c:pt idx="25">
                  <c:v>2.6832842486683717E-2</c:v>
                </c:pt>
                <c:pt idx="26">
                  <c:v>2.3990592172935754E-2</c:v>
                </c:pt>
                <c:pt idx="27">
                  <c:v>2.1393581642582316E-2</c:v>
                </c:pt>
                <c:pt idx="28">
                  <c:v>1.9028840261257951E-2</c:v>
                </c:pt>
                <c:pt idx="29">
                  <c:v>1.688280293106259E-2</c:v>
                </c:pt>
                <c:pt idx="30">
                  <c:v>1.4941575573840682E-2</c:v>
                </c:pt>
                <c:pt idx="31">
                  <c:v>1.3191165278652273E-2</c:v>
                </c:pt>
                <c:pt idx="32">
                  <c:v>1.1617676382960296E-2</c:v>
                </c:pt>
                <c:pt idx="33">
                  <c:v>1.0207474300800268E-2</c:v>
                </c:pt>
                <c:pt idx="34">
                  <c:v>8.9473193138478457E-3</c:v>
                </c:pt>
                <c:pt idx="35">
                  <c:v>7.8244728171465994E-3</c:v>
                </c:pt>
                <c:pt idx="36">
                  <c:v>6.826778675330214E-3</c:v>
                </c:pt>
                <c:pt idx="37">
                  <c:v>5.94272241342364E-3</c:v>
                </c:pt>
                <c:pt idx="38">
                  <c:v>5.1614709555143357E-3</c:v>
                </c:pt>
                <c:pt idx="39">
                  <c:v>4.4728955490351829E-3</c:v>
                </c:pt>
                <c:pt idx="40">
                  <c:v>3.8675803875278802E-3</c:v>
                </c:pt>
                <c:pt idx="41">
                  <c:v>3.3368192833298504E-3</c:v>
                </c:pt>
                <c:pt idx="42">
                  <c:v>2.8726025552505696E-3</c:v>
                </c:pt>
                <c:pt idx="43">
                  <c:v>2.4675960944322561E-3</c:v>
                </c:pt>
                <c:pt idx="44">
                  <c:v>2.1151143635322889E-3</c:v>
                </c:pt>
                <c:pt idx="45">
                  <c:v>1.8090888769877189E-3</c:v>
                </c:pt>
                <c:pt idx="46">
                  <c:v>1.5440335072807176E-3</c:v>
                </c:pt>
                <c:pt idx="47">
                  <c:v>1.315007768626586E-3</c:v>
                </c:pt>
                <c:pt idx="48">
                  <c:v>1.1175790523652029E-3</c:v>
                </c:pt>
                <c:pt idx="49">
                  <c:v>9.4778461818911808E-4</c:v>
                </c:pt>
                <c:pt idx="50">
                  <c:v>8.0209400088460114E-4</c:v>
                </c:pt>
                <c:pt idx="51">
                  <c:v>6.7737235173881416E-4</c:v>
                </c:pt>
                <c:pt idx="52">
                  <c:v>5.7084512102956175E-4</c:v>
                </c:pt>
                <c:pt idx="53">
                  <c:v>4.8006438867731482E-4</c:v>
                </c:pt>
                <c:pt idx="54">
                  <c:v>4.0287704045946916E-4</c:v>
                </c:pt>
                <c:pt idx="55">
                  <c:v>3.3739495600492976E-4</c:v>
                </c:pt>
                <c:pt idx="56">
                  <c:v>2.8196725399760658E-4</c:v>
                </c:pt>
                <c:pt idx="57">
                  <c:v>2.3515464533563661E-4</c:v>
                </c:pt>
                <c:pt idx="58">
                  <c:v>1.9570586519791625E-4</c:v>
                </c:pt>
                <c:pt idx="59">
                  <c:v>1.6253613999101538E-4</c:v>
                </c:pt>
                <c:pt idx="60">
                  <c:v>1.3470761517996071E-4</c:v>
                </c:pt>
                <c:pt idx="61">
                  <c:v>1.1141165248027834E-4</c:v>
                </c:pt>
                <c:pt idx="62">
                  <c:v>9.1952891541083678E-5</c:v>
                </c:pt>
                <c:pt idx="63">
                  <c:v>7.5734963048010564E-5</c:v>
                </c:pt>
                <c:pt idx="64">
                  <c:v>6.2247735724645326E-5</c:v>
                </c:pt>
                <c:pt idx="65">
                  <c:v>5.1055978048140732E-5</c:v>
                </c:pt>
                <c:pt idx="66">
                  <c:v>4.1789316480091668E-5</c:v>
                </c:pt>
                <c:pt idx="67">
                  <c:v>3.413337499658073E-5</c:v>
                </c:pt>
                <c:pt idx="68">
                  <c:v>2.7821985542649551E-5</c:v>
                </c:pt>
                <c:pt idx="69">
                  <c:v>2.2630363107946077E-5</c:v>
                </c:pt>
                <c:pt idx="70">
                  <c:v>1.8369147260597071E-5</c:v>
                </c:pt>
                <c:pt idx="71">
                  <c:v>1.4879216914504604E-5</c:v>
                </c:pt>
                <c:pt idx="72">
                  <c:v>1.2027192889560595E-5</c:v>
                </c:pt>
                <c:pt idx="73">
                  <c:v>9.701549334653213E-6</c:v>
                </c:pt>
                <c:pt idx="74">
                  <c:v>7.8092626014545442E-6</c:v>
                </c:pt>
                <c:pt idx="75">
                  <c:v>6.272931442508313E-6</c:v>
                </c:pt>
                <c:pt idx="76">
                  <c:v>5.028310952111299E-6</c:v>
                </c:pt>
                <c:pt idx="77">
                  <c:v>4.0222053472536697E-6</c:v>
                </c:pt>
                <c:pt idx="78">
                  <c:v>3.2106749388322911E-6</c:v>
                </c:pt>
                <c:pt idx="79">
                  <c:v>2.5575137861492539E-6</c:v>
                </c:pt>
                <c:pt idx="80">
                  <c:v>2.0329584466448518E-6</c:v>
                </c:pt>
              </c:numCache>
            </c:numRef>
          </c:yVal>
          <c:smooth val="1"/>
        </c:ser>
        <c:axId val="105859712"/>
        <c:axId val="105870080"/>
      </c:scatterChart>
      <c:valAx>
        <c:axId val="105859712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(years)</a:t>
                </a:r>
              </a:p>
            </c:rich>
          </c:tx>
          <c:layout>
            <c:manualLayout>
              <c:xMode val="edge"/>
              <c:yMode val="edge"/>
              <c:x val="0.31761660074180964"/>
              <c:y val="0.9396789463817039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5870080"/>
        <c:crosses val="autoZero"/>
        <c:crossBetween val="midCat"/>
      </c:valAx>
      <c:valAx>
        <c:axId val="105870080"/>
        <c:scaling>
          <c:orientation val="minMax"/>
          <c:min val="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(mg/L)</a:t>
                </a:r>
              </a:p>
            </c:rich>
          </c:tx>
          <c:layout>
            <c:manualLayout>
              <c:xMode val="edge"/>
              <c:yMode val="edge"/>
              <c:x val="3.9996056830924304E-2"/>
              <c:y val="0.3979023715785541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5859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1940954841741"/>
          <c:y val="0.34169447188017982"/>
          <c:w val="0.15780770182817924"/>
          <c:h val="0.2585240907386584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>
        <c:manualLayout>
          <c:layoutTarget val="inner"/>
          <c:xMode val="edge"/>
          <c:yMode val="edge"/>
          <c:x val="0.14374193022660006"/>
          <c:y val="0.15131532332882291"/>
          <c:w val="0.57256839472243981"/>
          <c:h val="0.79204114554930694"/>
        </c:manualLayout>
      </c:layout>
      <c:scatterChart>
        <c:scatterStyle val="smoothMarker"/>
        <c:ser>
          <c:idx val="0"/>
          <c:order val="0"/>
          <c:tx>
            <c:v>fracture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'model 1b'!$D$49:$D$129</c:f>
              <c:numCache>
                <c:formatCode>0.00</c:formatCode>
                <c:ptCount val="81"/>
                <c:pt idx="0">
                  <c:v>0</c:v>
                </c:pt>
                <c:pt idx="1">
                  <c:v>1.780857139155786E-7</c:v>
                </c:pt>
                <c:pt idx="2">
                  <c:v>2.2600342251610783E-4</c:v>
                </c:pt>
                <c:pt idx="3">
                  <c:v>2.6102758546895366E-3</c:v>
                </c:pt>
                <c:pt idx="4">
                  <c:v>9.1466250224785384E-3</c:v>
                </c:pt>
                <c:pt idx="5">
                  <c:v>1.9747353915951837E-2</c:v>
                </c:pt>
                <c:pt idx="6">
                  <c:v>3.3348309968251666E-2</c:v>
                </c:pt>
                <c:pt idx="7">
                  <c:v>4.884682112373806E-2</c:v>
                </c:pt>
                <c:pt idx="8">
                  <c:v>6.5382807492412542E-2</c:v>
                </c:pt>
                <c:pt idx="9">
                  <c:v>8.2351580050549433E-2</c:v>
                </c:pt>
                <c:pt idx="10">
                  <c:v>9.9349040891931084E-2</c:v>
                </c:pt>
                <c:pt idx="11">
                  <c:v>0.11611420531114569</c:v>
                </c:pt>
                <c:pt idx="12">
                  <c:v>0.13248421002693567</c:v>
                </c:pt>
                <c:pt idx="13">
                  <c:v>0.14836223481144484</c:v>
                </c:pt>
                <c:pt idx="14">
                  <c:v>0.16369546144686331</c:v>
                </c:pt>
                <c:pt idx="15">
                  <c:v>0.17846015272639981</c:v>
                </c:pt>
                <c:pt idx="16">
                  <c:v>0.19265160325444475</c:v>
                </c:pt>
                <c:pt idx="17">
                  <c:v>0.20627737769769405</c:v>
                </c:pt>
                <c:pt idx="18">
                  <c:v>0.21935275910729013</c:v>
                </c:pt>
                <c:pt idx="19">
                  <c:v>0.23189768469366223</c:v>
                </c:pt>
                <c:pt idx="20">
                  <c:v>0.24393468605296964</c:v>
                </c:pt>
                <c:pt idx="21">
                  <c:v>0.25548751045326346</c:v>
                </c:pt>
                <c:pt idx="22">
                  <c:v>0.26658020572298557</c:v>
                </c:pt>
                <c:pt idx="23">
                  <c:v>0.27723652171597646</c:v>
                </c:pt>
                <c:pt idx="24">
                  <c:v>0.28747952836649704</c:v>
                </c:pt>
                <c:pt idx="25">
                  <c:v>0.29733138195119491</c:v>
                </c:pt>
                <c:pt idx="26">
                  <c:v>0.30681319254723105</c:v>
                </c:pt>
                <c:pt idx="27">
                  <c:v>0.31594496022594432</c:v>
                </c:pt>
                <c:pt idx="28">
                  <c:v>0.3247455574915481</c:v>
                </c:pt>
                <c:pt idx="29">
                  <c:v>0.33323274234786515</c:v>
                </c:pt>
                <c:pt idx="30">
                  <c:v>0.34142319114111341</c:v>
                </c:pt>
                <c:pt idx="31">
                  <c:v>0.34933254364620692</c:v>
                </c:pt>
                <c:pt idx="32">
                  <c:v>0.35697545518592189</c:v>
                </c:pt>
                <c:pt idx="33">
                  <c:v>0.3643656522016101</c:v>
                </c:pt>
                <c:pt idx="34">
                  <c:v>0.3715159888399433</c:v>
                </c:pt>
                <c:pt idx="35">
                  <c:v>0.37843850292671499</c:v>
                </c:pt>
                <c:pt idx="36">
                  <c:v>0.38514447026619658</c:v>
                </c:pt>
                <c:pt idx="37">
                  <c:v>0.39164445660287983</c:v>
                </c:pt>
                <c:pt idx="38">
                  <c:v>0.39794836686085677</c:v>
                </c:pt>
                <c:pt idx="39">
                  <c:v>0.40406549146918902</c:v>
                </c:pt>
                <c:pt idx="40">
                  <c:v>0.41000454971408384</c:v>
                </c:pt>
                <c:pt idx="41">
                  <c:v>0.41577373014795782</c:v>
                </c:pt>
                <c:pt idx="42">
                  <c:v>0.42138072814407734</c:v>
                </c:pt>
                <c:pt idx="43">
                  <c:v>0.42683278072233044</c:v>
                </c:pt>
                <c:pt idx="44">
                  <c:v>0.43213669879325822</c:v>
                </c:pt>
                <c:pt idx="45">
                  <c:v>0.43729889697834223</c:v>
                </c:pt>
                <c:pt idx="46">
                  <c:v>0.44232542116802698</c:v>
                </c:pt>
                <c:pt idx="47">
                  <c:v>0.44722197397743435</c:v>
                </c:pt>
                <c:pt idx="48">
                  <c:v>0.45199393825489764</c:v>
                </c:pt>
                <c:pt idx="49">
                  <c:v>0.45664639879150659</c:v>
                </c:pt>
                <c:pt idx="50">
                  <c:v>0.46118416237171567</c:v>
                </c:pt>
                <c:pt idx="51">
                  <c:v>0.46561177629626238</c:v>
                </c:pt>
                <c:pt idx="52">
                  <c:v>0.46993354549966027</c:v>
                </c:pt>
                <c:pt idx="53">
                  <c:v>0.47415354837562163</c:v>
                </c:pt>
                <c:pt idx="54">
                  <c:v>0.47827565141510275</c:v>
                </c:pt>
                <c:pt idx="55">
                  <c:v>0.48230352275343602</c:v>
                </c:pt>
                <c:pt idx="56">
                  <c:v>0.48624064471518835</c:v>
                </c:pt>
                <c:pt idx="57">
                  <c:v>0.49009032543812259</c:v>
                </c:pt>
                <c:pt idx="58">
                  <c:v>0.49385570965082692</c:v>
                </c:pt>
                <c:pt idx="59">
                  <c:v>0.49753978867231741</c:v>
                </c:pt>
                <c:pt idx="60">
                  <c:v>0.50114540969612542</c:v>
                </c:pt>
                <c:pt idx="61">
                  <c:v>0.50467528441606047</c:v>
                </c:pt>
                <c:pt idx="62">
                  <c:v>0.508131997045979</c:v>
                </c:pt>
                <c:pt idx="63">
                  <c:v>0.51151801178140355</c:v>
                </c:pt>
                <c:pt idx="64">
                  <c:v>0.51483567974678723</c:v>
                </c:pt>
                <c:pt idx="65">
                  <c:v>0.51808724546847751</c:v>
                </c:pt>
                <c:pt idx="66">
                  <c:v>0.5212748529100435</c:v>
                </c:pt>
                <c:pt idx="67">
                  <c:v>0.52440055110354011</c:v>
                </c:pt>
                <c:pt idx="68">
                  <c:v>0.52746629940745082</c:v>
                </c:pt>
                <c:pt idx="69">
                  <c:v>0.5304739724194949</c:v>
                </c:pt>
                <c:pt idx="70">
                  <c:v>0.5334253645701208</c:v>
                </c:pt>
                <c:pt idx="71">
                  <c:v>0.53632219442039375</c:v>
                </c:pt>
                <c:pt idx="72">
                  <c:v>0.53916610868602088</c:v>
                </c:pt>
                <c:pt idx="73">
                  <c:v>0.54195868600749697</c:v>
                </c:pt>
                <c:pt idx="74">
                  <c:v>0.54470144048472235</c:v>
                </c:pt>
                <c:pt idx="75">
                  <c:v>0.54739582499297579</c:v>
                </c:pt>
                <c:pt idx="76">
                  <c:v>0.55004323429577529</c:v>
                </c:pt>
                <c:pt idx="77">
                  <c:v>0.55264500796892602</c:v>
                </c:pt>
                <c:pt idx="78">
                  <c:v>0.55520243314893092</c:v>
                </c:pt>
                <c:pt idx="79">
                  <c:v>0.55771674711791119</c:v>
                </c:pt>
                <c:pt idx="80">
                  <c:v>0.56018913973624285</c:v>
                </c:pt>
              </c:numCache>
            </c:numRef>
          </c:xVal>
          <c:yVal>
            <c:numRef>
              <c:f>'model 1b'!$A$49:$A$129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ser>
          <c:idx val="5"/>
          <c:order val="1"/>
          <c:tx>
            <c:v>steady_state</c:v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xVal>
            <c:numRef>
              <c:f>'model 1b'!$L$49:$L$129</c:f>
              <c:numCache>
                <c:formatCode>0.00</c:formatCode>
                <c:ptCount val="8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xVal>
          <c:yVal>
            <c:numRef>
              <c:f>'model 1b'!$A$49:$A$129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ser>
          <c:idx val="6"/>
          <c:order val="2"/>
          <c:tx>
            <c:v>EPM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1b'!$N$49:$N$129</c:f>
              <c:numCache>
                <c:formatCode>0.00</c:formatCode>
                <c:ptCount val="81"/>
                <c:pt idx="0">
                  <c:v>0</c:v>
                </c:pt>
                <c:pt idx="1">
                  <c:v>8.2321136773779872E-160</c:v>
                </c:pt>
                <c:pt idx="2">
                  <c:v>1.5357911450785944E-77</c:v>
                </c:pt>
                <c:pt idx="3">
                  <c:v>3.9787603064840229E-50</c:v>
                </c:pt>
                <c:pt idx="4">
                  <c:v>1.9459406252926842E-36</c:v>
                </c:pt>
                <c:pt idx="5">
                  <c:v>3.0572595752194997E-28</c:v>
                </c:pt>
                <c:pt idx="6">
                  <c:v>8.5756810538553592E-23</c:v>
                </c:pt>
                <c:pt idx="7">
                  <c:v>6.4545933775429342E-19</c:v>
                </c:pt>
                <c:pt idx="8">
                  <c:v>5.0566668112488833E-16</c:v>
                </c:pt>
                <c:pt idx="9">
                  <c:v>8.7594088825297423E-14</c:v>
                </c:pt>
                <c:pt idx="10">
                  <c:v>5.2737589474192613E-12</c:v>
                </c:pt>
                <c:pt idx="11">
                  <c:v>1.4718095873600171E-10</c:v>
                </c:pt>
                <c:pt idx="12">
                  <c:v>2.3071402636849811E-9</c:v>
                </c:pt>
                <c:pt idx="13">
                  <c:v>2.3203636417006692E-8</c:v>
                </c:pt>
                <c:pt idx="14">
                  <c:v>1.6465713977997188E-7</c:v>
                </c:pt>
                <c:pt idx="15">
                  <c:v>8.8396745547934815E-7</c:v>
                </c:pt>
                <c:pt idx="16">
                  <c:v>3.7831284864490973E-6</c:v>
                </c:pt>
                <c:pt idx="17">
                  <c:v>1.3434280300268389E-5</c:v>
                </c:pt>
                <c:pt idx="18">
                  <c:v>4.0837459782363755E-5</c:v>
                </c:pt>
                <c:pt idx="19">
                  <c:v>1.0891154145863027E-4</c:v>
                </c:pt>
                <c:pt idx="20">
                  <c:v>2.5990656114215993E-4</c:v>
                </c:pt>
                <c:pt idx="21">
                  <c:v>5.6392424944400185E-4</c:v>
                </c:pt>
                <c:pt idx="22">
                  <c:v>1.1270945237297151E-3</c:v>
                </c:pt>
                <c:pt idx="23">
                  <c:v>2.0976280388015777E-3</c:v>
                </c:pt>
                <c:pt idx="24">
                  <c:v>3.6680824228357113E-3</c:v>
                </c:pt>
                <c:pt idx="25">
                  <c:v>6.0727167760913315E-3</c:v>
                </c:pt>
                <c:pt idx="26">
                  <c:v>9.5796108183786258E-3</c:v>
                </c:pt>
                <c:pt idx="27">
                  <c:v>1.4478080960897194E-2</c:v>
                </c:pt>
                <c:pt idx="28">
                  <c:v>2.1062642571653946E-2</c:v>
                </c:pt>
                <c:pt idx="29">
                  <c:v>2.9615219247126928E-2</c:v>
                </c:pt>
                <c:pt idx="30">
                  <c:v>4.0387441560250627E-2</c:v>
                </c:pt>
                <c:pt idx="31">
                  <c:v>5.3584736481937005E-2</c:v>
                </c:pt>
                <c:pt idx="32">
                  <c:v>6.9353557921545267E-2</c:v>
                </c:pt>
                <c:pt idx="33">
                  <c:v>8.7772640992421908E-2</c:v>
                </c:pt>
                <c:pt idx="34">
                  <c:v>0.10884866640014357</c:v>
                </c:pt>
                <c:pt idx="35">
                  <c:v>0.13251626741482531</c:v>
                </c:pt>
                <c:pt idx="36">
                  <c:v>0.15864194658260583</c:v>
                </c:pt>
                <c:pt idx="37">
                  <c:v>0.18703121488581895</c:v>
                </c:pt>
                <c:pt idx="38">
                  <c:v>0.21743812468165075</c:v>
                </c:pt>
                <c:pt idx="39">
                  <c:v>0.24957632745332534</c:v>
                </c:pt>
                <c:pt idx="40">
                  <c:v>0.2831308279712737</c:v>
                </c:pt>
                <c:pt idx="41">
                  <c:v>0.31776970448295788</c:v>
                </c:pt>
                <c:pt idx="42">
                  <c:v>0.35315519720428712</c:v>
                </c:pt>
                <c:pt idx="43">
                  <c:v>0.38895371481697161</c:v>
                </c:pt>
                <c:pt idx="44">
                  <c:v>0.424844455208227</c:v>
                </c:pt>
                <c:pt idx="45">
                  <c:v>0.46052647113573503</c:v>
                </c:pt>
                <c:pt idx="46">
                  <c:v>0.49572412686885176</c:v>
                </c:pt>
                <c:pt idx="47">
                  <c:v>0.53019098470468051</c:v>
                </c:pt>
                <c:pt idx="48">
                  <c:v>0.56371222990310976</c:v>
                </c:pt>
                <c:pt idx="49">
                  <c:v>0.59610579031223854</c:v>
                </c:pt>
                <c:pt idx="50">
                  <c:v>0.62722233529965066</c:v>
                </c:pt>
                <c:pt idx="51">
                  <c:v>0.65694435076186564</c:v>
                </c:pt>
                <c:pt idx="52">
                  <c:v>0.6851844863595391</c:v>
                </c:pt>
                <c:pt idx="53">
                  <c:v>0.71188336101470973</c:v>
                </c:pt>
                <c:pt idx="54">
                  <c:v>0.73700699608746256</c:v>
                </c:pt>
                <c:pt idx="55">
                  <c:v>0.76054402507241159</c:v>
                </c:pt>
                <c:pt idx="56">
                  <c:v>0.78250280619710488</c:v>
                </c:pt>
                <c:pt idx="57">
                  <c:v>0.80290854157425906</c:v>
                </c:pt>
                <c:pt idx="58">
                  <c:v>0.82180048473722855</c:v>
                </c:pt>
                <c:pt idx="59">
                  <c:v>0.83922929827817361</c:v>
                </c:pt>
                <c:pt idx="60">
                  <c:v>0.85525460540415832</c:v>
                </c:pt>
                <c:pt idx="61">
                  <c:v>0.86994276377265822</c:v>
                </c:pt>
                <c:pt idx="62">
                  <c:v>0.8833648770202811</c:v>
                </c:pt>
                <c:pt idx="63">
                  <c:v>0.89559504887567298</c:v>
                </c:pt>
                <c:pt idx="64">
                  <c:v>0.90670887647570697</c:v>
                </c:pt>
                <c:pt idx="65">
                  <c:v>0.91678217325261946</c:v>
                </c:pt>
                <c:pt idx="66">
                  <c:v>0.92588990726962961</c:v>
                </c:pt>
                <c:pt idx="67">
                  <c:v>0.93410533788702432</c:v>
                </c:pt>
                <c:pt idx="68">
                  <c:v>0.9414993318805257</c:v>
                </c:pt>
                <c:pt idx="69">
                  <c:v>0.94813983936732038</c:v>
                </c:pt>
                <c:pt idx="70">
                  <c:v>0.95409150990440394</c:v>
                </c:pt>
                <c:pt idx="71">
                  <c:v>0.95941542971773486</c:v>
                </c:pt>
                <c:pt idx="72">
                  <c:v>0.96416896203547164</c:v>
                </c:pt>
                <c:pt idx="73">
                  <c:v>0.96840567379769149</c:v>
                </c:pt>
                <c:pt idx="74">
                  <c:v>0.97217533348693186</c:v>
                </c:pt>
                <c:pt idx="75">
                  <c:v>0.97552396637987748</c:v>
                </c:pt>
                <c:pt idx="76">
                  <c:v>0.97849395509184234</c:v>
                </c:pt>
                <c:pt idx="77">
                  <c:v>0.98112417482079783</c:v>
                </c:pt>
                <c:pt idx="78">
                  <c:v>0.98345015415959469</c:v>
                </c:pt>
                <c:pt idx="79">
                  <c:v>0.98550425370857675</c:v>
                </c:pt>
                <c:pt idx="80">
                  <c:v>0.98731585597056981</c:v>
                </c:pt>
              </c:numCache>
            </c:numRef>
          </c:xVal>
          <c:yVal>
            <c:numRef>
              <c:f>'model 1b'!$A$49:$A$129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ser>
          <c:idx val="1"/>
          <c:order val="3"/>
          <c:tx>
            <c:v>Diffusion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1b'!$P$49:$P$129</c:f>
              <c:numCache>
                <c:formatCode>0.00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1.5762209417500657E-228</c:v>
                </c:pt>
                <c:pt idx="3">
                  <c:v>4.8283979152295204E-153</c:v>
                </c:pt>
                <c:pt idx="4">
                  <c:v>2.7876578372643198E-115</c:v>
                </c:pt>
                <c:pt idx="5">
                  <c:v>1.2971568501088664E-92</c:v>
                </c:pt>
                <c:pt idx="6">
                  <c:v>1.7062665024435144E-77</c:v>
                </c:pt>
                <c:pt idx="7">
                  <c:v>1.0876958829407192E-66</c:v>
                </c:pt>
                <c:pt idx="8">
                  <c:v>1.3921724429493971E-58</c:v>
                </c:pt>
                <c:pt idx="9">
                  <c:v>2.8330914346394569E-52</c:v>
                </c:pt>
                <c:pt idx="10">
                  <c:v>3.1731600475493627E-47</c:v>
                </c:pt>
                <c:pt idx="11">
                  <c:v>4.3114371951443727E-43</c:v>
                </c:pt>
                <c:pt idx="12">
                  <c:v>1.2036799578022499E-39</c:v>
                </c:pt>
                <c:pt idx="13">
                  <c:v>9.9454870510476048E-37</c:v>
                </c:pt>
                <c:pt idx="14">
                  <c:v>3.1562848797780661E-34</c:v>
                </c:pt>
                <c:pt idx="15">
                  <c:v>4.6579492277338179E-32</c:v>
                </c:pt>
                <c:pt idx="16">
                  <c:v>3.6894930386310297E-30</c:v>
                </c:pt>
                <c:pt idx="17">
                  <c:v>1.7503679435344206E-28</c:v>
                </c:pt>
                <c:pt idx="18">
                  <c:v>5.4167638690392206E-27</c:v>
                </c:pt>
                <c:pt idx="19">
                  <c:v>1.1696575054137592E-25</c:v>
                </c:pt>
                <c:pt idx="20">
                  <c:v>1.8599351718598049E-24</c:v>
                </c:pt>
                <c:pt idx="21">
                  <c:v>2.2751645827229552E-23</c:v>
                </c:pt>
                <c:pt idx="22">
                  <c:v>2.2187857933046936E-22</c:v>
                </c:pt>
                <c:pt idx="23">
                  <c:v>1.7767302004510045E-21</c:v>
                </c:pt>
                <c:pt idx="24">
                  <c:v>1.1973272074347971E-20</c:v>
                </c:pt>
                <c:pt idx="25">
                  <c:v>6.9320796681336762E-20</c:v>
                </c:pt>
                <c:pt idx="26">
                  <c:v>3.5088776152889798E-19</c:v>
                </c:pt>
                <c:pt idx="27">
                  <c:v>1.5761495817164152E-18</c:v>
                </c:pt>
                <c:pt idx="28">
                  <c:v>6.363532239882849E-18</c:v>
                </c:pt>
                <c:pt idx="29">
                  <c:v>2.3348199525412038E-17</c:v>
                </c:pt>
                <c:pt idx="30">
                  <c:v>7.8597468697020173E-17</c:v>
                </c:pt>
                <c:pt idx="31">
                  <c:v>2.4477951720410857E-16</c:v>
                </c:pt>
                <c:pt idx="32">
                  <c:v>7.1041702515389952E-16</c:v>
                </c:pt>
                <c:pt idx="33">
                  <c:v>1.9337539001119524E-15</c:v>
                </c:pt>
                <c:pt idx="34">
                  <c:v>4.9646652889611273E-15</c:v>
                </c:pt>
                <c:pt idx="35">
                  <c:v>1.2082345185815927E-14</c:v>
                </c:pt>
                <c:pt idx="36">
                  <c:v>2.7997263386497482E-14</c:v>
                </c:pt>
                <c:pt idx="37">
                  <c:v>6.2016200290279305E-14</c:v>
                </c:pt>
                <c:pt idx="38">
                  <c:v>1.3178350840474297E-13</c:v>
                </c:pt>
                <c:pt idx="39">
                  <c:v>2.6950485256983517E-13</c:v>
                </c:pt>
                <c:pt idx="40">
                  <c:v>5.3194516693985085E-13</c:v>
                </c:pt>
                <c:pt idx="41">
                  <c:v>1.015981366901167E-12</c:v>
                </c:pt>
                <c:pt idx="42">
                  <c:v>1.8820891388122906E-12</c:v>
                </c:pt>
                <c:pt idx="43">
                  <c:v>3.3888529196131984E-12</c:v>
                </c:pt>
                <c:pt idx="44">
                  <c:v>5.9424033017996595E-12</c:v>
                </c:pt>
                <c:pt idx="45">
                  <c:v>1.0165593635824413E-11</c:v>
                </c:pt>
                <c:pt idx="46">
                  <c:v>1.6992707369984352E-11</c:v>
                </c:pt>
                <c:pt idx="47">
                  <c:v>2.7796512778792146E-11</c:v>
                </c:pt>
                <c:pt idx="48">
                  <c:v>4.4555519659988771E-11</c:v>
                </c:pt>
                <c:pt idx="49">
                  <c:v>7.0070306659854091E-11</c:v>
                </c:pt>
                <c:pt idx="50">
                  <c:v>1.0823873909348561E-10</c:v>
                </c:pt>
                <c:pt idx="51">
                  <c:v>1.6440074602248667E-10</c:v>
                </c:pt>
                <c:pt idx="52">
                  <c:v>2.457640340275422E-10</c:v>
                </c:pt>
                <c:pt idx="53">
                  <c:v>3.6192264900592887E-10</c:v>
                </c:pt>
                <c:pt idx="54">
                  <c:v>5.2548062680338238E-10</c:v>
                </c:pt>
                <c:pt idx="55">
                  <c:v>7.5279307512164931E-10</c:v>
                </c:pt>
                <c:pt idx="56">
                  <c:v>1.0648368865894479E-9</c:v>
                </c:pt>
                <c:pt idx="57">
                  <c:v>1.4882228874159038E-9</c:v>
                </c:pt>
                <c:pt idx="58">
                  <c:v>2.0563605766754261E-9</c:v>
                </c:pt>
                <c:pt idx="59">
                  <c:v>2.8107857145430315E-9</c:v>
                </c:pt>
                <c:pt idx="60">
                  <c:v>3.8026598872583176E-9</c:v>
                </c:pt>
                <c:pt idx="61">
                  <c:v>5.0944498320437985E-9</c:v>
                </c:pt>
                <c:pt idx="62">
                  <c:v>6.761792771728902E-9</c:v>
                </c:pt>
                <c:pt idx="63">
                  <c:v>8.8955523157645292E-9</c:v>
                </c:pt>
                <c:pt idx="64">
                  <c:v>1.1604067664077095E-8</c:v>
                </c:pt>
                <c:pt idx="65">
                  <c:v>1.5015596937203073E-8</c:v>
                </c:pt>
                <c:pt idx="66">
                  <c:v>1.9280953485643628E-8</c:v>
                </c:pt>
                <c:pt idx="67">
                  <c:v>2.4576332038502294E-8</c:v>
                </c:pt>
                <c:pt idx="68">
                  <c:v>3.1106319570311346E-8</c:v>
                </c:pt>
                <c:pt idx="69">
                  <c:v>3.9107083827753165E-8</c:v>
                </c:pt>
                <c:pt idx="70">
                  <c:v>4.8849730594499554E-8</c:v>
                </c:pt>
                <c:pt idx="71">
                  <c:v>6.0643819009407799E-8</c:v>
                </c:pt>
                <c:pt idx="72">
                  <c:v>7.4841022614203828E-8</c:v>
                </c:pt>
                <c:pt idx="73">
                  <c:v>9.1838922311388874E-8</c:v>
                </c:pt>
                <c:pt idx="74">
                  <c:v>1.1208491607748259E-7</c:v>
                </c:pt>
                <c:pt idx="75">
                  <c:v>1.3608022911320936E-7</c:v>
                </c:pt>
                <c:pt idx="76">
                  <c:v>1.6438400712956729E-7</c:v>
                </c:pt>
                <c:pt idx="77">
                  <c:v>1.9761747467210279E-7</c:v>
                </c:pt>
                <c:pt idx="78">
                  <c:v>2.3646813977701567E-7</c:v>
                </c:pt>
                <c:pt idx="79">
                  <c:v>2.8169402583105131E-7</c:v>
                </c:pt>
                <c:pt idx="80">
                  <c:v>3.3412791126850133E-7</c:v>
                </c:pt>
              </c:numCache>
            </c:numRef>
          </c:xVal>
          <c:yVal>
            <c:numRef>
              <c:f>'model 1b'!$A$49:$A$129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ser>
          <c:idx val="2"/>
          <c:order val="4"/>
          <c:tx>
            <c:v>1st order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xVal>
            <c:numRef>
              <c:f>'model 1b'!$Q$49:$Q$129</c:f>
              <c:numCache>
                <c:formatCode>0.00</c:formatCode>
                <c:ptCount val="81"/>
              </c:numCache>
            </c:numRef>
          </c:xVal>
          <c:yVal>
            <c:numRef>
              <c:f>'model 1b'!$A$49:$A$129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axId val="105958016"/>
        <c:axId val="106038016"/>
      </c:scatterChart>
      <c:valAx>
        <c:axId val="105958016"/>
        <c:scaling>
          <c:orientation val="minMax"/>
          <c:min val="0"/>
        </c:scaling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(mg/L)</a:t>
                </a:r>
              </a:p>
            </c:rich>
          </c:tx>
          <c:layout>
            <c:manualLayout>
              <c:xMode val="edge"/>
              <c:yMode val="edge"/>
              <c:x val="0.32646470038702918"/>
              <c:y val="3.7828792527694666E-2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6038016"/>
        <c:crosses val="autoZero"/>
        <c:crossBetween val="midCat"/>
      </c:valAx>
      <c:valAx>
        <c:axId val="106038016"/>
        <c:scaling>
          <c:orientation val="maxMin"/>
          <c:min val="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depth(m)</a:t>
                </a:r>
              </a:p>
            </c:rich>
          </c:tx>
          <c:layout>
            <c:manualLayout>
              <c:xMode val="edge"/>
              <c:yMode val="edge"/>
              <c:x val="1.5540389961503068E-2"/>
              <c:y val="0.47758899855827913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5958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580062966822124"/>
          <c:y val="0.3475523969585958"/>
          <c:w val="0.24606661455453629"/>
          <c:h val="0.3168163838675109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>
        <c:manualLayout>
          <c:layoutTarget val="inner"/>
          <c:xMode val="edge"/>
          <c:yMode val="edge"/>
          <c:x val="0.16736786853959626"/>
          <c:y val="8.962264150943422E-2"/>
          <c:w val="0.5777545320656825"/>
          <c:h val="0.78301886792452835"/>
        </c:manualLayout>
      </c:layout>
      <c:scatterChart>
        <c:scatterStyle val="smoothMarker"/>
        <c:ser>
          <c:idx val="0"/>
          <c:order val="0"/>
          <c:tx>
            <c:v>fracture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'model 1b'!$B$49:$B$129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'model 1b'!$D$49:$D$129</c:f>
              <c:numCache>
                <c:formatCode>0.00</c:formatCode>
                <c:ptCount val="81"/>
                <c:pt idx="0">
                  <c:v>0</c:v>
                </c:pt>
                <c:pt idx="1">
                  <c:v>1.780857139155786E-7</c:v>
                </c:pt>
                <c:pt idx="2">
                  <c:v>2.2600342251610783E-4</c:v>
                </c:pt>
                <c:pt idx="3">
                  <c:v>2.6102758546895366E-3</c:v>
                </c:pt>
                <c:pt idx="4">
                  <c:v>9.1466250224785384E-3</c:v>
                </c:pt>
                <c:pt idx="5">
                  <c:v>1.9747353915951837E-2</c:v>
                </c:pt>
                <c:pt idx="6">
                  <c:v>3.3348309968251666E-2</c:v>
                </c:pt>
                <c:pt idx="7">
                  <c:v>4.884682112373806E-2</c:v>
                </c:pt>
                <c:pt idx="8">
                  <c:v>6.5382807492412542E-2</c:v>
                </c:pt>
                <c:pt idx="9">
                  <c:v>8.2351580050549433E-2</c:v>
                </c:pt>
                <c:pt idx="10">
                  <c:v>9.9349040891931084E-2</c:v>
                </c:pt>
                <c:pt idx="11">
                  <c:v>0.11611420531114569</c:v>
                </c:pt>
                <c:pt idx="12">
                  <c:v>0.13248421002693567</c:v>
                </c:pt>
                <c:pt idx="13">
                  <c:v>0.14836223481144484</c:v>
                </c:pt>
                <c:pt idx="14">
                  <c:v>0.16369546144686331</c:v>
                </c:pt>
                <c:pt idx="15">
                  <c:v>0.17846015272639981</c:v>
                </c:pt>
                <c:pt idx="16">
                  <c:v>0.19265160325444475</c:v>
                </c:pt>
                <c:pt idx="17">
                  <c:v>0.20627737769769405</c:v>
                </c:pt>
                <c:pt idx="18">
                  <c:v>0.21935275910729013</c:v>
                </c:pt>
                <c:pt idx="19">
                  <c:v>0.23189768469366223</c:v>
                </c:pt>
                <c:pt idx="20">
                  <c:v>0.24393468605296964</c:v>
                </c:pt>
                <c:pt idx="21">
                  <c:v>0.25548751045326346</c:v>
                </c:pt>
                <c:pt idx="22">
                  <c:v>0.26658020572298557</c:v>
                </c:pt>
                <c:pt idx="23">
                  <c:v>0.27723652171597646</c:v>
                </c:pt>
                <c:pt idx="24">
                  <c:v>0.28747952836649704</c:v>
                </c:pt>
                <c:pt idx="25">
                  <c:v>0.29733138195119491</c:v>
                </c:pt>
                <c:pt idx="26">
                  <c:v>0.30681319254723105</c:v>
                </c:pt>
                <c:pt idx="27">
                  <c:v>0.31594496022594432</c:v>
                </c:pt>
                <c:pt idx="28">
                  <c:v>0.3247455574915481</c:v>
                </c:pt>
                <c:pt idx="29">
                  <c:v>0.33323274234786515</c:v>
                </c:pt>
                <c:pt idx="30">
                  <c:v>0.34142319114111341</c:v>
                </c:pt>
                <c:pt idx="31">
                  <c:v>0.34933254364620692</c:v>
                </c:pt>
                <c:pt idx="32">
                  <c:v>0.35697545518592189</c:v>
                </c:pt>
                <c:pt idx="33">
                  <c:v>0.3643656522016101</c:v>
                </c:pt>
                <c:pt idx="34">
                  <c:v>0.3715159888399433</c:v>
                </c:pt>
                <c:pt idx="35">
                  <c:v>0.37843850292671499</c:v>
                </c:pt>
                <c:pt idx="36">
                  <c:v>0.38514447026619658</c:v>
                </c:pt>
                <c:pt idx="37">
                  <c:v>0.39164445660287983</c:v>
                </c:pt>
                <c:pt idx="38">
                  <c:v>0.39794836686085677</c:v>
                </c:pt>
                <c:pt idx="39">
                  <c:v>0.40406549146918902</c:v>
                </c:pt>
                <c:pt idx="40">
                  <c:v>0.41000454971408384</c:v>
                </c:pt>
                <c:pt idx="41">
                  <c:v>0.41577373014795782</c:v>
                </c:pt>
                <c:pt idx="42">
                  <c:v>0.42138072814407734</c:v>
                </c:pt>
                <c:pt idx="43">
                  <c:v>0.42683278072233044</c:v>
                </c:pt>
                <c:pt idx="44">
                  <c:v>0.43213669879325822</c:v>
                </c:pt>
                <c:pt idx="45">
                  <c:v>0.43729889697834223</c:v>
                </c:pt>
                <c:pt idx="46">
                  <c:v>0.44232542116802698</c:v>
                </c:pt>
                <c:pt idx="47">
                  <c:v>0.44722197397743435</c:v>
                </c:pt>
                <c:pt idx="48">
                  <c:v>0.45199393825489764</c:v>
                </c:pt>
                <c:pt idx="49">
                  <c:v>0.45664639879150659</c:v>
                </c:pt>
                <c:pt idx="50">
                  <c:v>0.46118416237171567</c:v>
                </c:pt>
                <c:pt idx="51">
                  <c:v>0.46561177629626238</c:v>
                </c:pt>
                <c:pt idx="52">
                  <c:v>0.46993354549966027</c:v>
                </c:pt>
                <c:pt idx="53">
                  <c:v>0.47415354837562163</c:v>
                </c:pt>
                <c:pt idx="54">
                  <c:v>0.47827565141510275</c:v>
                </c:pt>
                <c:pt idx="55">
                  <c:v>0.48230352275343602</c:v>
                </c:pt>
                <c:pt idx="56">
                  <c:v>0.48624064471518835</c:v>
                </c:pt>
                <c:pt idx="57">
                  <c:v>0.49009032543812259</c:v>
                </c:pt>
                <c:pt idx="58">
                  <c:v>0.49385570965082692</c:v>
                </c:pt>
                <c:pt idx="59">
                  <c:v>0.49753978867231741</c:v>
                </c:pt>
                <c:pt idx="60">
                  <c:v>0.50114540969612542</c:v>
                </c:pt>
                <c:pt idx="61">
                  <c:v>0.50467528441606047</c:v>
                </c:pt>
                <c:pt idx="62">
                  <c:v>0.508131997045979</c:v>
                </c:pt>
                <c:pt idx="63">
                  <c:v>0.51151801178140355</c:v>
                </c:pt>
                <c:pt idx="64">
                  <c:v>0.51483567974678723</c:v>
                </c:pt>
                <c:pt idx="65">
                  <c:v>0.51808724546847751</c:v>
                </c:pt>
                <c:pt idx="66">
                  <c:v>0.5212748529100435</c:v>
                </c:pt>
                <c:pt idx="67">
                  <c:v>0.52440055110354011</c:v>
                </c:pt>
                <c:pt idx="68">
                  <c:v>0.52746629940745082</c:v>
                </c:pt>
                <c:pt idx="69">
                  <c:v>0.5304739724194949</c:v>
                </c:pt>
                <c:pt idx="70">
                  <c:v>0.5334253645701208</c:v>
                </c:pt>
                <c:pt idx="71">
                  <c:v>0.53632219442039375</c:v>
                </c:pt>
                <c:pt idx="72">
                  <c:v>0.53916610868602088</c:v>
                </c:pt>
                <c:pt idx="73">
                  <c:v>0.54195868600749697</c:v>
                </c:pt>
                <c:pt idx="74">
                  <c:v>0.54470144048472235</c:v>
                </c:pt>
                <c:pt idx="75">
                  <c:v>0.54739582499297579</c:v>
                </c:pt>
                <c:pt idx="76">
                  <c:v>0.55004323429577529</c:v>
                </c:pt>
                <c:pt idx="77">
                  <c:v>0.55264500796892602</c:v>
                </c:pt>
                <c:pt idx="78">
                  <c:v>0.55520243314893092</c:v>
                </c:pt>
                <c:pt idx="79">
                  <c:v>0.55771674711791119</c:v>
                </c:pt>
                <c:pt idx="80">
                  <c:v>0.56018913973624285</c:v>
                </c:pt>
              </c:numCache>
            </c:numRef>
          </c:yVal>
          <c:smooth val="1"/>
        </c:ser>
        <c:ser>
          <c:idx val="5"/>
          <c:order val="1"/>
          <c:tx>
            <c:v>steady_state</c:v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xVal>
            <c:numRef>
              <c:f>'model 1b'!$B$49:$B$129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'model 1b'!$L$49:$L$129</c:f>
              <c:numCache>
                <c:formatCode>0.00</c:formatCode>
                <c:ptCount val="8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yVal>
          <c:smooth val="1"/>
        </c:ser>
        <c:ser>
          <c:idx val="6"/>
          <c:order val="2"/>
          <c:tx>
            <c:v>EPM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1b'!$B$49:$B$129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'model 1b'!$N$49:$N$129</c:f>
              <c:numCache>
                <c:formatCode>0.00</c:formatCode>
                <c:ptCount val="81"/>
                <c:pt idx="0">
                  <c:v>0</c:v>
                </c:pt>
                <c:pt idx="1">
                  <c:v>8.2321136773779872E-160</c:v>
                </c:pt>
                <c:pt idx="2">
                  <c:v>1.5357911450785944E-77</c:v>
                </c:pt>
                <c:pt idx="3">
                  <c:v>3.9787603064840229E-50</c:v>
                </c:pt>
                <c:pt idx="4">
                  <c:v>1.9459406252926842E-36</c:v>
                </c:pt>
                <c:pt idx="5">
                  <c:v>3.0572595752194997E-28</c:v>
                </c:pt>
                <c:pt idx="6">
                  <c:v>8.5756810538553592E-23</c:v>
                </c:pt>
                <c:pt idx="7">
                  <c:v>6.4545933775429342E-19</c:v>
                </c:pt>
                <c:pt idx="8">
                  <c:v>5.0566668112488833E-16</c:v>
                </c:pt>
                <c:pt idx="9">
                  <c:v>8.7594088825297423E-14</c:v>
                </c:pt>
                <c:pt idx="10">
                  <c:v>5.2737589474192613E-12</c:v>
                </c:pt>
                <c:pt idx="11">
                  <c:v>1.4718095873600171E-10</c:v>
                </c:pt>
                <c:pt idx="12">
                  <c:v>2.3071402636849811E-9</c:v>
                </c:pt>
                <c:pt idx="13">
                  <c:v>2.3203636417006692E-8</c:v>
                </c:pt>
                <c:pt idx="14">
                  <c:v>1.6465713977997188E-7</c:v>
                </c:pt>
                <c:pt idx="15">
                  <c:v>8.8396745547934815E-7</c:v>
                </c:pt>
                <c:pt idx="16">
                  <c:v>3.7831284864490973E-6</c:v>
                </c:pt>
                <c:pt idx="17">
                  <c:v>1.3434280300268389E-5</c:v>
                </c:pt>
                <c:pt idx="18">
                  <c:v>4.0837459782363755E-5</c:v>
                </c:pt>
                <c:pt idx="19">
                  <c:v>1.0891154145863027E-4</c:v>
                </c:pt>
                <c:pt idx="20">
                  <c:v>2.5990656114215993E-4</c:v>
                </c:pt>
                <c:pt idx="21">
                  <c:v>5.6392424944400185E-4</c:v>
                </c:pt>
                <c:pt idx="22">
                  <c:v>1.1270945237297151E-3</c:v>
                </c:pt>
                <c:pt idx="23">
                  <c:v>2.0976280388015777E-3</c:v>
                </c:pt>
                <c:pt idx="24">
                  <c:v>3.6680824228357113E-3</c:v>
                </c:pt>
                <c:pt idx="25">
                  <c:v>6.0727167760913315E-3</c:v>
                </c:pt>
                <c:pt idx="26">
                  <c:v>9.5796108183786258E-3</c:v>
                </c:pt>
                <c:pt idx="27">
                  <c:v>1.4478080960897194E-2</c:v>
                </c:pt>
                <c:pt idx="28">
                  <c:v>2.1062642571653946E-2</c:v>
                </c:pt>
                <c:pt idx="29">
                  <c:v>2.9615219247126928E-2</c:v>
                </c:pt>
                <c:pt idx="30">
                  <c:v>4.0387441560250627E-2</c:v>
                </c:pt>
                <c:pt idx="31">
                  <c:v>5.3584736481937005E-2</c:v>
                </c:pt>
                <c:pt idx="32">
                  <c:v>6.9353557921545267E-2</c:v>
                </c:pt>
                <c:pt idx="33">
                  <c:v>8.7772640992421908E-2</c:v>
                </c:pt>
                <c:pt idx="34">
                  <c:v>0.10884866640014357</c:v>
                </c:pt>
                <c:pt idx="35">
                  <c:v>0.13251626741482531</c:v>
                </c:pt>
                <c:pt idx="36">
                  <c:v>0.15864194658260583</c:v>
                </c:pt>
                <c:pt idx="37">
                  <c:v>0.18703121488581895</c:v>
                </c:pt>
                <c:pt idx="38">
                  <c:v>0.21743812468165075</c:v>
                </c:pt>
                <c:pt idx="39">
                  <c:v>0.24957632745332534</c:v>
                </c:pt>
                <c:pt idx="40">
                  <c:v>0.2831308279712737</c:v>
                </c:pt>
                <c:pt idx="41">
                  <c:v>0.31776970448295788</c:v>
                </c:pt>
                <c:pt idx="42">
                  <c:v>0.35315519720428712</c:v>
                </c:pt>
                <c:pt idx="43">
                  <c:v>0.38895371481697161</c:v>
                </c:pt>
                <c:pt idx="44">
                  <c:v>0.424844455208227</c:v>
                </c:pt>
                <c:pt idx="45">
                  <c:v>0.46052647113573503</c:v>
                </c:pt>
                <c:pt idx="46">
                  <c:v>0.49572412686885176</c:v>
                </c:pt>
                <c:pt idx="47">
                  <c:v>0.53019098470468051</c:v>
                </c:pt>
                <c:pt idx="48">
                  <c:v>0.56371222990310976</c:v>
                </c:pt>
                <c:pt idx="49">
                  <c:v>0.59610579031223854</c:v>
                </c:pt>
                <c:pt idx="50">
                  <c:v>0.62722233529965066</c:v>
                </c:pt>
                <c:pt idx="51">
                  <c:v>0.65694435076186564</c:v>
                </c:pt>
                <c:pt idx="52">
                  <c:v>0.6851844863595391</c:v>
                </c:pt>
                <c:pt idx="53">
                  <c:v>0.71188336101470973</c:v>
                </c:pt>
                <c:pt idx="54">
                  <c:v>0.73700699608746256</c:v>
                </c:pt>
                <c:pt idx="55">
                  <c:v>0.76054402507241159</c:v>
                </c:pt>
                <c:pt idx="56">
                  <c:v>0.78250280619710488</c:v>
                </c:pt>
                <c:pt idx="57">
                  <c:v>0.80290854157425906</c:v>
                </c:pt>
                <c:pt idx="58">
                  <c:v>0.82180048473722855</c:v>
                </c:pt>
                <c:pt idx="59">
                  <c:v>0.83922929827817361</c:v>
                </c:pt>
                <c:pt idx="60">
                  <c:v>0.85525460540415832</c:v>
                </c:pt>
                <c:pt idx="61">
                  <c:v>0.86994276377265822</c:v>
                </c:pt>
                <c:pt idx="62">
                  <c:v>0.8833648770202811</c:v>
                </c:pt>
                <c:pt idx="63">
                  <c:v>0.89559504887567298</c:v>
                </c:pt>
                <c:pt idx="64">
                  <c:v>0.90670887647570697</c:v>
                </c:pt>
                <c:pt idx="65">
                  <c:v>0.91678217325261946</c:v>
                </c:pt>
                <c:pt idx="66">
                  <c:v>0.92588990726962961</c:v>
                </c:pt>
                <c:pt idx="67">
                  <c:v>0.93410533788702432</c:v>
                </c:pt>
                <c:pt idx="68">
                  <c:v>0.9414993318805257</c:v>
                </c:pt>
                <c:pt idx="69">
                  <c:v>0.94813983936732038</c:v>
                </c:pt>
                <c:pt idx="70">
                  <c:v>0.95409150990440394</c:v>
                </c:pt>
                <c:pt idx="71">
                  <c:v>0.95941542971773486</c:v>
                </c:pt>
                <c:pt idx="72">
                  <c:v>0.96416896203547164</c:v>
                </c:pt>
                <c:pt idx="73">
                  <c:v>0.96840567379769149</c:v>
                </c:pt>
                <c:pt idx="74">
                  <c:v>0.97217533348693186</c:v>
                </c:pt>
                <c:pt idx="75">
                  <c:v>0.97552396637987748</c:v>
                </c:pt>
                <c:pt idx="76">
                  <c:v>0.97849395509184234</c:v>
                </c:pt>
                <c:pt idx="77">
                  <c:v>0.98112417482079783</c:v>
                </c:pt>
                <c:pt idx="78">
                  <c:v>0.98345015415959469</c:v>
                </c:pt>
                <c:pt idx="79">
                  <c:v>0.98550425370857675</c:v>
                </c:pt>
                <c:pt idx="80">
                  <c:v>0.98731585597056981</c:v>
                </c:pt>
              </c:numCache>
            </c:numRef>
          </c:yVal>
          <c:smooth val="1"/>
        </c:ser>
        <c:ser>
          <c:idx val="1"/>
          <c:order val="3"/>
          <c:tx>
            <c:v>Diffusion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1b'!$B$49:$B$129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'model 1b'!$P$49:$P$129</c:f>
              <c:numCache>
                <c:formatCode>0.00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1.5762209417500657E-228</c:v>
                </c:pt>
                <c:pt idx="3">
                  <c:v>4.8283979152295204E-153</c:v>
                </c:pt>
                <c:pt idx="4">
                  <c:v>2.7876578372643198E-115</c:v>
                </c:pt>
                <c:pt idx="5">
                  <c:v>1.2971568501088664E-92</c:v>
                </c:pt>
                <c:pt idx="6">
                  <c:v>1.7062665024435144E-77</c:v>
                </c:pt>
                <c:pt idx="7">
                  <c:v>1.0876958829407192E-66</c:v>
                </c:pt>
                <c:pt idx="8">
                  <c:v>1.3921724429493971E-58</c:v>
                </c:pt>
                <c:pt idx="9">
                  <c:v>2.8330914346394569E-52</c:v>
                </c:pt>
                <c:pt idx="10">
                  <c:v>3.1731600475493627E-47</c:v>
                </c:pt>
                <c:pt idx="11">
                  <c:v>4.3114371951443727E-43</c:v>
                </c:pt>
                <c:pt idx="12">
                  <c:v>1.2036799578022499E-39</c:v>
                </c:pt>
                <c:pt idx="13">
                  <c:v>9.9454870510476048E-37</c:v>
                </c:pt>
                <c:pt idx="14">
                  <c:v>3.1562848797780661E-34</c:v>
                </c:pt>
                <c:pt idx="15">
                  <c:v>4.6579492277338179E-32</c:v>
                </c:pt>
                <c:pt idx="16">
                  <c:v>3.6894930386310297E-30</c:v>
                </c:pt>
                <c:pt idx="17">
                  <c:v>1.7503679435344206E-28</c:v>
                </c:pt>
                <c:pt idx="18">
                  <c:v>5.4167638690392206E-27</c:v>
                </c:pt>
                <c:pt idx="19">
                  <c:v>1.1696575054137592E-25</c:v>
                </c:pt>
                <c:pt idx="20">
                  <c:v>1.8599351718598049E-24</c:v>
                </c:pt>
                <c:pt idx="21">
                  <c:v>2.2751645827229552E-23</c:v>
                </c:pt>
                <c:pt idx="22">
                  <c:v>2.2187857933046936E-22</c:v>
                </c:pt>
                <c:pt idx="23">
                  <c:v>1.7767302004510045E-21</c:v>
                </c:pt>
                <c:pt idx="24">
                  <c:v>1.1973272074347971E-20</c:v>
                </c:pt>
                <c:pt idx="25">
                  <c:v>6.9320796681336762E-20</c:v>
                </c:pt>
                <c:pt idx="26">
                  <c:v>3.5088776152889798E-19</c:v>
                </c:pt>
                <c:pt idx="27">
                  <c:v>1.5761495817164152E-18</c:v>
                </c:pt>
                <c:pt idx="28">
                  <c:v>6.363532239882849E-18</c:v>
                </c:pt>
                <c:pt idx="29">
                  <c:v>2.3348199525412038E-17</c:v>
                </c:pt>
                <c:pt idx="30">
                  <c:v>7.8597468697020173E-17</c:v>
                </c:pt>
                <c:pt idx="31">
                  <c:v>2.4477951720410857E-16</c:v>
                </c:pt>
                <c:pt idx="32">
                  <c:v>7.1041702515389952E-16</c:v>
                </c:pt>
                <c:pt idx="33">
                  <c:v>1.9337539001119524E-15</c:v>
                </c:pt>
                <c:pt idx="34">
                  <c:v>4.9646652889611273E-15</c:v>
                </c:pt>
                <c:pt idx="35">
                  <c:v>1.2082345185815927E-14</c:v>
                </c:pt>
                <c:pt idx="36">
                  <c:v>2.7997263386497482E-14</c:v>
                </c:pt>
                <c:pt idx="37">
                  <c:v>6.2016200290279305E-14</c:v>
                </c:pt>
                <c:pt idx="38">
                  <c:v>1.3178350840474297E-13</c:v>
                </c:pt>
                <c:pt idx="39">
                  <c:v>2.6950485256983517E-13</c:v>
                </c:pt>
                <c:pt idx="40">
                  <c:v>5.3194516693985085E-13</c:v>
                </c:pt>
                <c:pt idx="41">
                  <c:v>1.015981366901167E-12</c:v>
                </c:pt>
                <c:pt idx="42">
                  <c:v>1.8820891388122906E-12</c:v>
                </c:pt>
                <c:pt idx="43">
                  <c:v>3.3888529196131984E-12</c:v>
                </c:pt>
                <c:pt idx="44">
                  <c:v>5.9424033017996595E-12</c:v>
                </c:pt>
                <c:pt idx="45">
                  <c:v>1.0165593635824413E-11</c:v>
                </c:pt>
                <c:pt idx="46">
                  <c:v>1.6992707369984352E-11</c:v>
                </c:pt>
                <c:pt idx="47">
                  <c:v>2.7796512778792146E-11</c:v>
                </c:pt>
                <c:pt idx="48">
                  <c:v>4.4555519659988771E-11</c:v>
                </c:pt>
                <c:pt idx="49">
                  <c:v>7.0070306659854091E-11</c:v>
                </c:pt>
                <c:pt idx="50">
                  <c:v>1.0823873909348561E-10</c:v>
                </c:pt>
                <c:pt idx="51">
                  <c:v>1.6440074602248667E-10</c:v>
                </c:pt>
                <c:pt idx="52">
                  <c:v>2.457640340275422E-10</c:v>
                </c:pt>
                <c:pt idx="53">
                  <c:v>3.6192264900592887E-10</c:v>
                </c:pt>
                <c:pt idx="54">
                  <c:v>5.2548062680338238E-10</c:v>
                </c:pt>
                <c:pt idx="55">
                  <c:v>7.5279307512164931E-10</c:v>
                </c:pt>
                <c:pt idx="56">
                  <c:v>1.0648368865894479E-9</c:v>
                </c:pt>
                <c:pt idx="57">
                  <c:v>1.4882228874159038E-9</c:v>
                </c:pt>
                <c:pt idx="58">
                  <c:v>2.0563605766754261E-9</c:v>
                </c:pt>
                <c:pt idx="59">
                  <c:v>2.8107857145430315E-9</c:v>
                </c:pt>
                <c:pt idx="60">
                  <c:v>3.8026598872583176E-9</c:v>
                </c:pt>
                <c:pt idx="61">
                  <c:v>5.0944498320437985E-9</c:v>
                </c:pt>
                <c:pt idx="62">
                  <c:v>6.761792771728902E-9</c:v>
                </c:pt>
                <c:pt idx="63">
                  <c:v>8.8955523157645292E-9</c:v>
                </c:pt>
                <c:pt idx="64">
                  <c:v>1.1604067664077095E-8</c:v>
                </c:pt>
                <c:pt idx="65">
                  <c:v>1.5015596937203073E-8</c:v>
                </c:pt>
                <c:pt idx="66">
                  <c:v>1.9280953485643628E-8</c:v>
                </c:pt>
                <c:pt idx="67">
                  <c:v>2.4576332038502294E-8</c:v>
                </c:pt>
                <c:pt idx="68">
                  <c:v>3.1106319570311346E-8</c:v>
                </c:pt>
                <c:pt idx="69">
                  <c:v>3.9107083827753165E-8</c:v>
                </c:pt>
                <c:pt idx="70">
                  <c:v>4.8849730594499554E-8</c:v>
                </c:pt>
                <c:pt idx="71">
                  <c:v>6.0643819009407799E-8</c:v>
                </c:pt>
                <c:pt idx="72">
                  <c:v>7.4841022614203828E-8</c:v>
                </c:pt>
                <c:pt idx="73">
                  <c:v>9.1838922311388874E-8</c:v>
                </c:pt>
                <c:pt idx="74">
                  <c:v>1.1208491607748259E-7</c:v>
                </c:pt>
                <c:pt idx="75">
                  <c:v>1.3608022911320936E-7</c:v>
                </c:pt>
                <c:pt idx="76">
                  <c:v>1.6438400712956729E-7</c:v>
                </c:pt>
                <c:pt idx="77">
                  <c:v>1.9761747467210279E-7</c:v>
                </c:pt>
                <c:pt idx="78">
                  <c:v>2.3646813977701567E-7</c:v>
                </c:pt>
                <c:pt idx="79">
                  <c:v>2.8169402583105131E-7</c:v>
                </c:pt>
                <c:pt idx="80">
                  <c:v>3.3412791126850133E-7</c:v>
                </c:pt>
              </c:numCache>
            </c:numRef>
          </c:yVal>
          <c:smooth val="1"/>
        </c:ser>
        <c:ser>
          <c:idx val="2"/>
          <c:order val="4"/>
          <c:tx>
            <c:v>1st order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xVal>
            <c:numRef>
              <c:f>'model 1b'!$B$49:$B$129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'model 1b'!$Q$49:$Q$129</c:f>
              <c:numCache>
                <c:formatCode>0.00</c:formatCode>
                <c:ptCount val="81"/>
              </c:numCache>
            </c:numRef>
          </c:yVal>
          <c:smooth val="1"/>
        </c:ser>
        <c:axId val="106098048"/>
        <c:axId val="107156992"/>
      </c:scatterChart>
      <c:valAx>
        <c:axId val="106098048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(years)</a:t>
                </a:r>
              </a:p>
            </c:rich>
          </c:tx>
          <c:layout>
            <c:manualLayout>
              <c:xMode val="edge"/>
              <c:yMode val="edge"/>
              <c:x val="0.32981318511656726"/>
              <c:y val="0.9363206648349283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07156992"/>
        <c:crosses val="autoZero"/>
        <c:crossBetween val="midCat"/>
      </c:valAx>
      <c:valAx>
        <c:axId val="107156992"/>
        <c:scaling>
          <c:orientation val="minMax"/>
          <c:min val="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(mg/L)</a:t>
                </a:r>
              </a:p>
            </c:rich>
          </c:tx>
          <c:layout>
            <c:manualLayout>
              <c:xMode val="edge"/>
              <c:yMode val="edge"/>
              <c:x val="4.1841902115176778E-2"/>
              <c:y val="0.3938679796173031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6098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00739746299995"/>
          <c:y val="0.32311311495118139"/>
          <c:w val="0.22596944119027132"/>
          <c:h val="0.3160377903581728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>
        <c:manualLayout>
          <c:layoutTarget val="inner"/>
          <c:xMode val="edge"/>
          <c:yMode val="edge"/>
          <c:x val="0.14374193022660012"/>
          <c:y val="0.15131532332882291"/>
          <c:w val="0.53842316237421251"/>
          <c:h val="0.79204114554930694"/>
        </c:manualLayout>
      </c:layout>
      <c:scatterChart>
        <c:scatterStyle val="smoothMarker"/>
        <c:ser>
          <c:idx val="0"/>
          <c:order val="0"/>
          <c:tx>
            <c:v>fracture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'model 1b'!$D$49:$D$129</c:f>
              <c:numCache>
                <c:formatCode>0.00</c:formatCode>
                <c:ptCount val="81"/>
                <c:pt idx="0">
                  <c:v>0</c:v>
                </c:pt>
                <c:pt idx="1">
                  <c:v>1.780857139155786E-7</c:v>
                </c:pt>
                <c:pt idx="2">
                  <c:v>2.2600342251610783E-4</c:v>
                </c:pt>
                <c:pt idx="3">
                  <c:v>2.6102758546895366E-3</c:v>
                </c:pt>
                <c:pt idx="4">
                  <c:v>9.1466250224785384E-3</c:v>
                </c:pt>
                <c:pt idx="5">
                  <c:v>1.9747353915951837E-2</c:v>
                </c:pt>
                <c:pt idx="6">
                  <c:v>3.3348309968251666E-2</c:v>
                </c:pt>
                <c:pt idx="7">
                  <c:v>4.884682112373806E-2</c:v>
                </c:pt>
                <c:pt idx="8">
                  <c:v>6.5382807492412542E-2</c:v>
                </c:pt>
                <c:pt idx="9">
                  <c:v>8.2351580050549433E-2</c:v>
                </c:pt>
                <c:pt idx="10">
                  <c:v>9.9349040891931084E-2</c:v>
                </c:pt>
                <c:pt idx="11">
                  <c:v>0.11611420531114569</c:v>
                </c:pt>
                <c:pt idx="12">
                  <c:v>0.13248421002693567</c:v>
                </c:pt>
                <c:pt idx="13">
                  <c:v>0.14836223481144484</c:v>
                </c:pt>
                <c:pt idx="14">
                  <c:v>0.16369546144686331</c:v>
                </c:pt>
                <c:pt idx="15">
                  <c:v>0.17846015272639981</c:v>
                </c:pt>
                <c:pt idx="16">
                  <c:v>0.19265160325444475</c:v>
                </c:pt>
                <c:pt idx="17">
                  <c:v>0.20627737769769405</c:v>
                </c:pt>
                <c:pt idx="18">
                  <c:v>0.21935275910729013</c:v>
                </c:pt>
                <c:pt idx="19">
                  <c:v>0.23189768469366223</c:v>
                </c:pt>
                <c:pt idx="20">
                  <c:v>0.24393468605296964</c:v>
                </c:pt>
                <c:pt idx="21">
                  <c:v>0.25548751045326346</c:v>
                </c:pt>
                <c:pt idx="22">
                  <c:v>0.26658020572298557</c:v>
                </c:pt>
                <c:pt idx="23">
                  <c:v>0.27723652171597646</c:v>
                </c:pt>
                <c:pt idx="24">
                  <c:v>0.28747952836649704</c:v>
                </c:pt>
                <c:pt idx="25">
                  <c:v>0.29733138195119491</c:v>
                </c:pt>
                <c:pt idx="26">
                  <c:v>0.30681319254723105</c:v>
                </c:pt>
                <c:pt idx="27">
                  <c:v>0.31594496022594432</c:v>
                </c:pt>
                <c:pt idx="28">
                  <c:v>0.3247455574915481</c:v>
                </c:pt>
                <c:pt idx="29">
                  <c:v>0.33323274234786515</c:v>
                </c:pt>
                <c:pt idx="30">
                  <c:v>0.34142319114111341</c:v>
                </c:pt>
                <c:pt idx="31">
                  <c:v>0.34933254364620692</c:v>
                </c:pt>
                <c:pt idx="32">
                  <c:v>0.35697545518592189</c:v>
                </c:pt>
                <c:pt idx="33">
                  <c:v>0.3643656522016101</c:v>
                </c:pt>
                <c:pt idx="34">
                  <c:v>0.3715159888399433</c:v>
                </c:pt>
                <c:pt idx="35">
                  <c:v>0.37843850292671499</c:v>
                </c:pt>
                <c:pt idx="36">
                  <c:v>0.38514447026619658</c:v>
                </c:pt>
                <c:pt idx="37">
                  <c:v>0.39164445660287983</c:v>
                </c:pt>
                <c:pt idx="38">
                  <c:v>0.39794836686085677</c:v>
                </c:pt>
                <c:pt idx="39">
                  <c:v>0.40406549146918902</c:v>
                </c:pt>
                <c:pt idx="40">
                  <c:v>0.41000454971408384</c:v>
                </c:pt>
                <c:pt idx="41">
                  <c:v>0.41577373014795782</c:v>
                </c:pt>
                <c:pt idx="42">
                  <c:v>0.42138072814407734</c:v>
                </c:pt>
                <c:pt idx="43">
                  <c:v>0.42683278072233044</c:v>
                </c:pt>
                <c:pt idx="44">
                  <c:v>0.43213669879325822</c:v>
                </c:pt>
                <c:pt idx="45">
                  <c:v>0.43729889697834223</c:v>
                </c:pt>
                <c:pt idx="46">
                  <c:v>0.44232542116802698</c:v>
                </c:pt>
                <c:pt idx="47">
                  <c:v>0.44722197397743435</c:v>
                </c:pt>
                <c:pt idx="48">
                  <c:v>0.45199393825489764</c:v>
                </c:pt>
                <c:pt idx="49">
                  <c:v>0.45664639879150659</c:v>
                </c:pt>
                <c:pt idx="50">
                  <c:v>0.46118416237171567</c:v>
                </c:pt>
                <c:pt idx="51">
                  <c:v>0.46561177629626238</c:v>
                </c:pt>
                <c:pt idx="52">
                  <c:v>0.46993354549966027</c:v>
                </c:pt>
                <c:pt idx="53">
                  <c:v>0.47415354837562163</c:v>
                </c:pt>
                <c:pt idx="54">
                  <c:v>0.47827565141510275</c:v>
                </c:pt>
                <c:pt idx="55">
                  <c:v>0.48230352275343602</c:v>
                </c:pt>
                <c:pt idx="56">
                  <c:v>0.48624064471518835</c:v>
                </c:pt>
                <c:pt idx="57">
                  <c:v>0.49009032543812259</c:v>
                </c:pt>
                <c:pt idx="58">
                  <c:v>0.49385570965082692</c:v>
                </c:pt>
                <c:pt idx="59">
                  <c:v>0.49753978867231741</c:v>
                </c:pt>
                <c:pt idx="60">
                  <c:v>0.50114540969612542</c:v>
                </c:pt>
                <c:pt idx="61">
                  <c:v>0.50467528441606047</c:v>
                </c:pt>
                <c:pt idx="62">
                  <c:v>0.508131997045979</c:v>
                </c:pt>
                <c:pt idx="63">
                  <c:v>0.51151801178140355</c:v>
                </c:pt>
                <c:pt idx="64">
                  <c:v>0.51483567974678723</c:v>
                </c:pt>
                <c:pt idx="65">
                  <c:v>0.51808724546847751</c:v>
                </c:pt>
                <c:pt idx="66">
                  <c:v>0.5212748529100435</c:v>
                </c:pt>
                <c:pt idx="67">
                  <c:v>0.52440055110354011</c:v>
                </c:pt>
                <c:pt idx="68">
                  <c:v>0.52746629940745082</c:v>
                </c:pt>
                <c:pt idx="69">
                  <c:v>0.5304739724194949</c:v>
                </c:pt>
                <c:pt idx="70">
                  <c:v>0.5334253645701208</c:v>
                </c:pt>
                <c:pt idx="71">
                  <c:v>0.53632219442039375</c:v>
                </c:pt>
                <c:pt idx="72">
                  <c:v>0.53916610868602088</c:v>
                </c:pt>
                <c:pt idx="73">
                  <c:v>0.54195868600749697</c:v>
                </c:pt>
                <c:pt idx="74">
                  <c:v>0.54470144048472235</c:v>
                </c:pt>
                <c:pt idx="75">
                  <c:v>0.54739582499297579</c:v>
                </c:pt>
                <c:pt idx="76">
                  <c:v>0.55004323429577529</c:v>
                </c:pt>
                <c:pt idx="77">
                  <c:v>0.55264500796892602</c:v>
                </c:pt>
                <c:pt idx="78">
                  <c:v>0.55520243314893092</c:v>
                </c:pt>
                <c:pt idx="79">
                  <c:v>0.55771674711791119</c:v>
                </c:pt>
                <c:pt idx="80">
                  <c:v>0.56018913973624285</c:v>
                </c:pt>
              </c:numCache>
            </c:numRef>
          </c:xVal>
          <c:yVal>
            <c:numRef>
              <c:f>'model 1b'!$A$49:$A$129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'model 1b'!$E$48</c:f>
              <c:strCache>
                <c:ptCount val="1"/>
                <c:pt idx="0">
                  <c:v>0.1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1b'!$E$49:$E$129</c:f>
              <c:numCache>
                <c:formatCode>0.00</c:formatCode>
                <c:ptCount val="81"/>
                <c:pt idx="0">
                  <c:v>0</c:v>
                </c:pt>
                <c:pt idx="1">
                  <c:v>8.4857076735589537E-10</c:v>
                </c:pt>
                <c:pt idx="2">
                  <c:v>1.4631482706306542E-5</c:v>
                </c:pt>
                <c:pt idx="3">
                  <c:v>4.0370045576310076E-4</c:v>
                </c:pt>
                <c:pt idx="4">
                  <c:v>2.1899263457414442E-3</c:v>
                </c:pt>
                <c:pt idx="5">
                  <c:v>6.1528022294212725E-3</c:v>
                </c:pt>
                <c:pt idx="6">
                  <c:v>1.2395984949848504E-2</c:v>
                </c:pt>
                <c:pt idx="7">
                  <c:v>2.0609793527755604E-2</c:v>
                </c:pt>
                <c:pt idx="8">
                  <c:v>3.035241945572964E-2</c:v>
                </c:pt>
                <c:pt idx="9">
                  <c:v>4.1195255665719799E-2</c:v>
                </c:pt>
                <c:pt idx="10">
                  <c:v>5.277586276485513E-2</c:v>
                </c:pt>
                <c:pt idx="11">
                  <c:v>6.4807228017489837E-2</c:v>
                </c:pt>
                <c:pt idx="12">
                  <c:v>7.707020481709792E-2</c:v>
                </c:pt>
                <c:pt idx="13">
                  <c:v>8.9401309403250417E-2</c:v>
                </c:pt>
                <c:pt idx="14">
                  <c:v>0.10168071590837169</c:v>
                </c:pt>
                <c:pt idx="15">
                  <c:v>0.11382203910466027</c:v>
                </c:pt>
                <c:pt idx="16">
                  <c:v>0.12576417098138748</c:v>
                </c:pt>
                <c:pt idx="17">
                  <c:v>0.13746496063529134</c:v>
                </c:pt>
                <c:pt idx="18">
                  <c:v>0.14889640113973313</c:v>
                </c:pt>
                <c:pt idx="19">
                  <c:v>0.16004099517078929</c:v>
                </c:pt>
                <c:pt idx="20">
                  <c:v>0.17088902197810207</c:v>
                </c:pt>
                <c:pt idx="21">
                  <c:v>0.18143648554795644</c:v>
                </c:pt>
                <c:pt idx="22">
                  <c:v>0.19168357468817576</c:v>
                </c:pt>
                <c:pt idx="23">
                  <c:v>0.20163350702261873</c:v>
                </c:pt>
                <c:pt idx="24">
                  <c:v>0.21129166089339124</c:v>
                </c:pt>
                <c:pt idx="25">
                  <c:v>0.22066492343778954</c:v>
                </c:pt>
                <c:pt idx="26">
                  <c:v>0.22976120128404598</c:v>
                </c:pt>
                <c:pt idx="27">
                  <c:v>0.23858905384349649</c:v>
                </c:pt>
                <c:pt idx="28">
                  <c:v>0.24715741923044332</c:v>
                </c:pt>
                <c:pt idx="29">
                  <c:v>0.25547541031013976</c:v>
                </c:pt>
                <c:pt idx="30">
                  <c:v>0.26355216393294256</c:v>
                </c:pt>
                <c:pt idx="31">
                  <c:v>0.27139673055807245</c:v>
                </c:pt>
                <c:pt idx="32">
                  <c:v>0.27901799457185783</c:v>
                </c:pt>
                <c:pt idx="33">
                  <c:v>0.28642461793342022</c:v>
                </c:pt>
                <c:pt idx="34">
                  <c:v>0.29362500153446014</c:v>
                </c:pt>
                <c:pt idx="35">
                  <c:v>0.3006272599855202</c:v>
                </c:pt>
                <c:pt idx="36">
                  <c:v>0.30743920654672019</c:v>
                </c:pt>
                <c:pt idx="37">
                  <c:v>0.31406834568639752</c:v>
                </c:pt>
                <c:pt idx="38">
                  <c:v>0.32052187133553289</c:v>
                </c:pt>
                <c:pt idx="39">
                  <c:v>0.32680666935343661</c:v>
                </c:pt>
                <c:pt idx="40">
                  <c:v>0.33292932306393919</c:v>
                </c:pt>
                <c:pt idx="41">
                  <c:v>0.33889612098595512</c:v>
                </c:pt>
                <c:pt idx="42">
                  <c:v>0.34471306608650942</c:v>
                </c:pt>
                <c:pt idx="43">
                  <c:v>0.35038588604214693</c:v>
                </c:pt>
                <c:pt idx="44">
                  <c:v>0.35592004411686018</c:v>
                </c:pt>
                <c:pt idx="45">
                  <c:v>0.36132075035938449</c:v>
                </c:pt>
                <c:pt idx="46">
                  <c:v>0.36659297289616122</c:v>
                </c:pt>
                <c:pt idx="47">
                  <c:v>0.3717414491532518</c:v>
                </c:pt>
                <c:pt idx="48">
                  <c:v>0.37677069688466158</c:v>
                </c:pt>
                <c:pt idx="49">
                  <c:v>0.38168502491874623</c:v>
                </c:pt>
                <c:pt idx="50">
                  <c:v>0.38648854356082118</c:v>
                </c:pt>
                <c:pt idx="51">
                  <c:v>0.39118517461048841</c:v>
                </c:pt>
                <c:pt idx="52">
                  <c:v>0.39577866096783332</c:v>
                </c:pt>
                <c:pt idx="53">
                  <c:v>0.4002725758146064</c:v>
                </c:pt>
                <c:pt idx="54">
                  <c:v>0.40467033136555441</c:v>
                </c:pt>
                <c:pt idx="55">
                  <c:v>0.40897518719184989</c:v>
                </c:pt>
                <c:pt idx="56">
                  <c:v>0.41319025812361576</c:v>
                </c:pt>
                <c:pt idx="57">
                  <c:v>0.41731852174216022</c:v>
                </c:pt>
                <c:pt idx="58">
                  <c:v>0.42136282547514603</c:v>
                </c:pt>
                <c:pt idx="59">
                  <c:v>0.42532589330963688</c:v>
                </c:pt>
                <c:pt idx="60">
                  <c:v>0.42921033213908899</c:v>
                </c:pt>
                <c:pt idx="61">
                  <c:v>0.43301863776095439</c:v>
                </c:pt>
                <c:pt idx="62">
                  <c:v>0.43675320054180977</c:v>
                </c:pt>
                <c:pt idx="63">
                  <c:v>0.44041631076686594</c:v>
                </c:pt>
                <c:pt idx="64">
                  <c:v>0.44401016369047053</c:v>
                </c:pt>
                <c:pt idx="65">
                  <c:v>0.4475368643037938</c:v>
                </c:pt>
                <c:pt idx="66">
                  <c:v>0.45099843183537258</c:v>
                </c:pt>
                <c:pt idx="67">
                  <c:v>0.4543968039995927</c:v>
                </c:pt>
                <c:pt idx="68">
                  <c:v>0.45773384100754511</c:v>
                </c:pt>
                <c:pt idx="69">
                  <c:v>0.46101132935402278</c:v>
                </c:pt>
                <c:pt idx="70">
                  <c:v>0.46423098539373719</c:v>
                </c:pt>
                <c:pt idx="71">
                  <c:v>0.46739445871916563</c:v>
                </c:pt>
                <c:pt idx="72">
                  <c:v>0.47050333535175071</c:v>
                </c:pt>
                <c:pt idx="73">
                  <c:v>0.47355914075753547</c:v>
                </c:pt>
                <c:pt idx="74">
                  <c:v>0.47656334269767031</c:v>
                </c:pt>
                <c:pt idx="75">
                  <c:v>0.47951735392362238</c:v>
                </c:pt>
                <c:pt idx="76">
                  <c:v>0.48242253472633845</c:v>
                </c:pt>
                <c:pt idx="77">
                  <c:v>0.48528019534804212</c:v>
                </c:pt>
                <c:pt idx="78">
                  <c:v>0.4880915982648335</c:v>
                </c:pt>
                <c:pt idx="79">
                  <c:v>0.49085796034774987</c:v>
                </c:pt>
                <c:pt idx="80">
                  <c:v>0.49358045490947178</c:v>
                </c:pt>
              </c:numCache>
            </c:numRef>
          </c:xVal>
          <c:yVal>
            <c:numRef>
              <c:f>'model 1b'!$A$49:$A$129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'model 1b'!$F$48</c:f>
              <c:strCache>
                <c:ptCount val="1"/>
                <c:pt idx="0">
                  <c:v>0.2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'model 1b'!$F$49:$F$129</c:f>
              <c:numCache>
                <c:formatCode>0.00</c:formatCode>
                <c:ptCount val="81"/>
                <c:pt idx="0">
                  <c:v>0</c:v>
                </c:pt>
                <c:pt idx="1">
                  <c:v>1.7858227486508164E-12</c:v>
                </c:pt>
                <c:pt idx="2">
                  <c:v>6.348389827159906E-7</c:v>
                </c:pt>
                <c:pt idx="3">
                  <c:v>4.8022228471555906E-5</c:v>
                </c:pt>
                <c:pt idx="4">
                  <c:v>4.3178955813849562E-4</c:v>
                </c:pt>
                <c:pt idx="5">
                  <c:v>1.6442756203849385E-3</c:v>
                </c:pt>
                <c:pt idx="6">
                  <c:v>4.0599171770003828E-3</c:v>
                </c:pt>
                <c:pt idx="7">
                  <c:v>7.8096944837464655E-3</c:v>
                </c:pt>
                <c:pt idx="8">
                  <c:v>1.2835909038491966E-2</c:v>
                </c:pt>
                <c:pt idx="9">
                  <c:v>1.8980326641810041E-2</c:v>
                </c:pt>
                <c:pt idx="10">
                  <c:v>2.6048825059590275E-2</c:v>
                </c:pt>
                <c:pt idx="11">
                  <c:v>3.3848118726828913E-2</c:v>
                </c:pt>
                <c:pt idx="12">
                  <c:v>4.2203155099872269E-2</c:v>
                </c:pt>
                <c:pt idx="13">
                  <c:v>5.0963383470603585E-2</c:v>
                </c:pt>
                <c:pt idx="14">
                  <c:v>6.0003302706024719E-2</c:v>
                </c:pt>
                <c:pt idx="15">
                  <c:v>6.922039765640009E-2</c:v>
                </c:pt>
                <c:pt idx="16">
                  <c:v>7.8532117912755384E-2</c:v>
                </c:pt>
                <c:pt idx="17">
                  <c:v>8.787271977532285E-2</c:v>
                </c:pt>
                <c:pt idx="18">
                  <c:v>9.7190342477951219E-2</c:v>
                </c:pt>
                <c:pt idx="19">
                  <c:v>0.10644445741824171</c:v>
                </c:pt>
                <c:pt idx="20">
                  <c:v>0.11560371518425105</c:v>
                </c:pt>
                <c:pt idx="21">
                  <c:v>0.12464416362343989</c:v>
                </c:pt>
                <c:pt idx="22">
                  <c:v>0.13354779055544119</c:v>
                </c:pt>
                <c:pt idx="23">
                  <c:v>0.14230134070168443</c:v>
                </c:pt>
                <c:pt idx="24">
                  <c:v>0.15089535947378252</c:v>
                </c:pt>
                <c:pt idx="25">
                  <c:v>0.15932342208470773</c:v>
                </c:pt>
                <c:pt idx="26">
                  <c:v>0.16758151289130696</c:v>
                </c:pt>
                <c:pt idx="27">
                  <c:v>0.17566752596893132</c:v>
                </c:pt>
                <c:pt idx="28">
                  <c:v>0.18358086327444401</c:v>
                </c:pt>
                <c:pt idx="29">
                  <c:v>0.19132211127902332</c:v>
                </c:pt>
                <c:pt idx="30">
                  <c:v>0.19889278068730643</c:v>
                </c:pt>
                <c:pt idx="31">
                  <c:v>0.20629509689842207</c:v>
                </c:pt>
                <c:pt idx="32">
                  <c:v>0.21353183131515641</c:v>
                </c:pt>
                <c:pt idx="33">
                  <c:v>0.22060616557314128</c:v>
                </c:pt>
                <c:pt idx="34">
                  <c:v>0.22752158233365449</c:v>
                </c:pt>
                <c:pt idx="35">
                  <c:v>0.23428177753853596</c:v>
                </c:pt>
                <c:pt idx="36">
                  <c:v>0.24089059002732416</c:v>
                </c:pt>
                <c:pt idx="37">
                  <c:v>0.24735194521644877</c:v>
                </c:pt>
                <c:pt idx="38">
                  <c:v>0.25366981017954338</c:v>
                </c:pt>
                <c:pt idx="39">
                  <c:v>0.25984815797952732</c:v>
                </c:pt>
                <c:pt idx="40">
                  <c:v>0.26589093951327558</c:v>
                </c:pt>
                <c:pt idx="41">
                  <c:v>0.27180206145906038</c:v>
                </c:pt>
                <c:pt idx="42">
                  <c:v>0.2775853691820549</c:v>
                </c:pt>
                <c:pt idx="43">
                  <c:v>0.28324463366691477</c:v>
                </c:pt>
                <c:pt idx="44">
                  <c:v>0.28878354171912335</c:v>
                </c:pt>
                <c:pt idx="45">
                  <c:v>0.29420568881662601</c:v>
                </c:pt>
                <c:pt idx="46">
                  <c:v>0.29951457410666915</c:v>
                </c:pt>
                <c:pt idx="47">
                  <c:v>0.30471359713494506</c:v>
                </c:pt>
                <c:pt idx="48">
                  <c:v>0.30980605596921573</c:v>
                </c:pt>
                <c:pt idx="49">
                  <c:v>0.31479514644081519</c:v>
                </c:pt>
                <c:pt idx="50">
                  <c:v>0.31968396227746787</c:v>
                </c:pt>
                <c:pt idx="51">
                  <c:v>0.32447549594182412</c:v>
                </c:pt>
                <c:pt idx="52">
                  <c:v>0.32917264002366742</c:v>
                </c:pt>
                <c:pt idx="53">
                  <c:v>0.33377818906132162</c:v>
                </c:pt>
                <c:pt idx="54">
                  <c:v>0.33829484169041479</c:v>
                </c:pt>
                <c:pt idx="55">
                  <c:v>0.34272520303678489</c:v>
                </c:pt>
                <c:pt idx="56">
                  <c:v>0.34707178728566923</c:v>
                </c:pt>
                <c:pt idx="57">
                  <c:v>0.35133702037193881</c:v>
                </c:pt>
                <c:pt idx="58">
                  <c:v>0.35552324274657954</c:v>
                </c:pt>
                <c:pt idx="59">
                  <c:v>0.35963271218321324</c:v>
                </c:pt>
                <c:pt idx="60">
                  <c:v>0.36366760659554909</c:v>
                </c:pt>
                <c:pt idx="61">
                  <c:v>0.36763002684250523</c:v>
                </c:pt>
                <c:pt idx="62">
                  <c:v>0.37152199950256981</c:v>
                </c:pt>
                <c:pt idx="63">
                  <c:v>0.37534547960295317</c:v>
                </c:pt>
                <c:pt idx="64">
                  <c:v>0.37910235329234743</c:v>
                </c:pt>
                <c:pt idx="65">
                  <c:v>0.38279444044881727</c:v>
                </c:pt>
                <c:pt idx="66">
                  <c:v>0.38642349721654856</c:v>
                </c:pt>
                <c:pt idx="67">
                  <c:v>0.38999121846699181</c:v>
                </c:pt>
                <c:pt idx="68">
                  <c:v>0.39349924018142479</c:v>
                </c:pt>
                <c:pt idx="69">
                  <c:v>0.39694914175315188</c:v>
                </c:pt>
                <c:pt idx="70">
                  <c:v>0.40034244820853626</c:v>
                </c:pt>
                <c:pt idx="71">
                  <c:v>0.40368063234684826</c:v>
                </c:pt>
                <c:pt idx="72">
                  <c:v>0.40696511679953185</c:v>
                </c:pt>
                <c:pt idx="73">
                  <c:v>0.410197276010001</c:v>
                </c:pt>
                <c:pt idx="74">
                  <c:v>0.41337843813544506</c:v>
                </c:pt>
                <c:pt idx="75">
                  <c:v>0.41650988687244928</c:v>
                </c:pt>
                <c:pt idx="76">
                  <c:v>0.41959286320843137</c:v>
                </c:pt>
                <c:pt idx="77">
                  <c:v>0.4226285671010841</c:v>
                </c:pt>
                <c:pt idx="78">
                  <c:v>0.42561815908811518</c:v>
                </c:pt>
                <c:pt idx="79">
                  <c:v>0.42856276182965236</c:v>
                </c:pt>
                <c:pt idx="80">
                  <c:v>0.43146346158572557</c:v>
                </c:pt>
              </c:numCache>
            </c:numRef>
          </c:xVal>
          <c:yVal>
            <c:numRef>
              <c:f>'model 1b'!$A$49:$A$129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'model 1b'!$G$48</c:f>
              <c:strCache>
                <c:ptCount val="1"/>
                <c:pt idx="0">
                  <c:v>0.3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1b'!$G$49:$G$129</c:f>
              <c:numCache>
                <c:formatCode>0.00</c:formatCode>
                <c:ptCount val="81"/>
                <c:pt idx="0">
                  <c:v>0</c:v>
                </c:pt>
                <c:pt idx="1">
                  <c:v>1.6528072885795516E-15</c:v>
                </c:pt>
                <c:pt idx="2">
                  <c:v>1.8395868577305756E-8</c:v>
                </c:pt>
                <c:pt idx="3">
                  <c:v>4.3807975171894498E-6</c:v>
                </c:pt>
                <c:pt idx="4">
                  <c:v>6.9932898794533571E-5</c:v>
                </c:pt>
                <c:pt idx="5">
                  <c:v>3.7604676829960937E-4</c:v>
                </c:pt>
                <c:pt idx="6">
                  <c:v>1.1692777991481051E-3</c:v>
                </c:pt>
                <c:pt idx="7">
                  <c:v>2.6530199189154224E-3</c:v>
                </c:pt>
                <c:pt idx="8">
                  <c:v>4.9369543042236952E-3</c:v>
                </c:pt>
                <c:pt idx="9">
                  <c:v>8.0426308426075899E-3</c:v>
                </c:pt>
                <c:pt idx="10">
                  <c:v>1.1929741419423046E-2</c:v>
                </c:pt>
                <c:pt idx="11">
                  <c:v>1.6522380769074196E-2</c:v>
                </c:pt>
                <c:pt idx="12">
                  <c:v>2.1728641980393704E-2</c:v>
                </c:pt>
                <c:pt idx="13">
                  <c:v>2.7453277527974773E-2</c:v>
                </c:pt>
                <c:pt idx="14">
                  <c:v>3.3605049118916375E-2</c:v>
                </c:pt>
                <c:pt idx="15">
                  <c:v>4.0100503680000177E-2</c:v>
                </c:pt>
                <c:pt idx="16">
                  <c:v>4.6865524409759995E-2</c:v>
                </c:pt>
                <c:pt idx="17">
                  <c:v>5.3835581682874167E-2</c:v>
                </c:pt>
                <c:pt idx="18">
                  <c:v>6.095527671269152E-2</c:v>
                </c:pt>
                <c:pt idx="19">
                  <c:v>6.8177541158218169E-2</c:v>
                </c:pt>
                <c:pt idx="20">
                  <c:v>7.5462706441041139E-2</c:v>
                </c:pt>
                <c:pt idx="21">
                  <c:v>8.2777562980011821E-2</c:v>
                </c:pt>
                <c:pt idx="22">
                  <c:v>9.0094472604324238E-2</c:v>
                </c:pt>
                <c:pt idx="23">
                  <c:v>9.7390563640269878E-2</c:v>
                </c:pt>
                <c:pt idx="24">
                  <c:v>0.10464701874877402</c:v>
                </c:pt>
                <c:pt idx="25">
                  <c:v>0.11184845489252071</c:v>
                </c:pt>
                <c:pt idx="26">
                  <c:v>0.1189823893200761</c:v>
                </c:pt>
                <c:pt idx="27">
                  <c:v>0.12603878300733529</c:v>
                </c:pt>
                <c:pt idx="28">
                  <c:v>0.13300965227825667</c:v>
                </c:pt>
                <c:pt idx="29">
                  <c:v>0.13988873954641123</c:v>
                </c:pt>
                <c:pt idx="30">
                  <c:v>0.1466712348080601</c:v>
                </c:pt>
                <c:pt idx="31">
                  <c:v>0.15335354040454541</c:v>
                </c:pt>
                <c:pt idx="32">
                  <c:v>0.15993307250389988</c:v>
                </c:pt>
                <c:pt idx="33">
                  <c:v>0.16640809364704712</c:v>
                </c:pt>
                <c:pt idx="34">
                  <c:v>0.1727775715230091</c:v>
                </c:pt>
                <c:pt idx="35">
                  <c:v>0.17904105986464103</c:v>
                </c:pt>
                <c:pt idx="36">
                  <c:v>0.18519859798946725</c:v>
                </c:pt>
                <c:pt idx="37">
                  <c:v>0.1912506260542739</c:v>
                </c:pt>
                <c:pt idx="38">
                  <c:v>0.19719791355554039</c:v>
                </c:pt>
                <c:pt idx="39">
                  <c:v>0.20304149900014679</c:v>
                </c:pt>
                <c:pt idx="40">
                  <c:v>0.20878263900152438</c:v>
                </c:pt>
                <c:pt idx="41">
                  <c:v>0.21442276533451343</c:v>
                </c:pt>
                <c:pt idx="42">
                  <c:v>0.21996344871551221</c:v>
                </c:pt>
                <c:pt idx="43">
                  <c:v>0.22540636827016303</c:v>
                </c:pt>
                <c:pt idx="44">
                  <c:v>0.23075328581475807</c:v>
                </c:pt>
                <c:pt idx="45">
                  <c:v>0.23600602421493888</c:v>
                </c:pt>
                <c:pt idx="46">
                  <c:v>0.24116644920045305</c:v>
                </c:pt>
                <c:pt idx="47">
                  <c:v>0.24623645411134643</c:v>
                </c:pt>
                <c:pt idx="48">
                  <c:v>0.25121794713207946</c:v>
                </c:pt>
                <c:pt idx="49">
                  <c:v>0.25611284063822937</c:v>
                </c:pt>
                <c:pt idx="50">
                  <c:v>0.26092304233775954</c:v>
                </c:pt>
                <c:pt idx="51">
                  <c:v>0.26565044793714065</c:v>
                </c:pt>
                <c:pt idx="52">
                  <c:v>0.27029693510331576</c:v>
                </c:pt>
                <c:pt idx="53">
                  <c:v>0.27486435852686197</c:v>
                </c:pt>
                <c:pt idx="54">
                  <c:v>0.27935454592077891</c:v>
                </c:pt>
                <c:pt idx="55">
                  <c:v>0.28376929481388347</c:v>
                </c:pt>
                <c:pt idx="56">
                  <c:v>0.28811037001866602</c:v>
                </c:pt>
                <c:pt idx="57">
                  <c:v>0.29237950167108995</c:v>
                </c:pt>
                <c:pt idx="58">
                  <c:v>0.29657838375488099</c:v>
                </c:pt>
                <c:pt idx="59">
                  <c:v>0.3007086730355768</c:v>
                </c:pt>
                <c:pt idx="60">
                  <c:v>0.30477198834050179</c:v>
                </c:pt>
                <c:pt idx="61">
                  <c:v>0.30876991013009203</c:v>
                </c:pt>
                <c:pt idx="62">
                  <c:v>0.31270398031389601</c:v>
                </c:pt>
                <c:pt idx="63">
                  <c:v>0.31657570227133491</c:v>
                </c:pt>
                <c:pt idx="64">
                  <c:v>0.32038654104307485</c:v>
                </c:pt>
                <c:pt idx="65">
                  <c:v>0.32413792366380401</c:v>
                </c:pt>
                <c:pt idx="66">
                  <c:v>0.3278312396114349</c:v>
                </c:pt>
                <c:pt idx="67">
                  <c:v>0.33146784135139029</c:v>
                </c:pt>
                <c:pt idx="68">
                  <c:v>0.33504904495771815</c:v>
                </c:pt>
                <c:pt idx="69">
                  <c:v>0.33857613079547511</c:v>
                </c:pt>
                <c:pt idx="70">
                  <c:v>0.34205034425109337</c:v>
                </c:pt>
                <c:pt idx="71">
                  <c:v>0.34547289649942203</c:v>
                </c:pt>
                <c:pt idx="72">
                  <c:v>0.34884496529782494</c:v>
                </c:pt>
                <c:pt idx="73">
                  <c:v>0.35216769579917573</c:v>
                </c:pt>
                <c:pt idx="74">
                  <c:v>0.35544220137683324</c:v>
                </c:pt>
                <c:pt idx="75">
                  <c:v>0.35866956445577625</c:v>
                </c:pt>
                <c:pt idx="76">
                  <c:v>0.36185083734497381</c:v>
                </c:pt>
                <c:pt idx="77">
                  <c:v>0.36498704306689889</c:v>
                </c:pt>
                <c:pt idx="78">
                  <c:v>0.36807917618074026</c:v>
                </c:pt>
                <c:pt idx="79">
                  <c:v>0.37112820359649579</c:v>
                </c:pt>
                <c:pt idx="80">
                  <c:v>0.37413506537759544</c:v>
                </c:pt>
              </c:numCache>
            </c:numRef>
          </c:xVal>
          <c:yVal>
            <c:numRef>
              <c:f>'model 1b'!$A$49:$A$129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'model 1b'!$I$48</c:f>
              <c:strCache>
                <c:ptCount val="1"/>
                <c:pt idx="0">
                  <c:v>0.5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1b'!$I$49:$I$129</c:f>
              <c:numCache>
                <c:formatCode>0.00</c:formatCode>
                <c:ptCount val="81"/>
                <c:pt idx="0">
                  <c:v>0</c:v>
                </c:pt>
                <c:pt idx="1">
                  <c:v>1.190609482823213E-22</c:v>
                </c:pt>
                <c:pt idx="2">
                  <c:v>4.5570809884337807E-12</c:v>
                </c:pt>
                <c:pt idx="3">
                  <c:v>1.6304391225915801E-8</c:v>
                </c:pt>
                <c:pt idx="4">
                  <c:v>1.0091790914046328E-6</c:v>
                </c:pt>
                <c:pt idx="5">
                  <c:v>1.2245546208600189E-5</c:v>
                </c:pt>
                <c:pt idx="6">
                  <c:v>6.5553196299639183E-5</c:v>
                </c:pt>
                <c:pt idx="7">
                  <c:v>2.1938393144749213E-4</c:v>
                </c:pt>
                <c:pt idx="8">
                  <c:v>5.4667703130117928E-4</c:v>
                </c:pt>
                <c:pt idx="9">
                  <c:v>1.1180947680937692E-3</c:v>
                </c:pt>
                <c:pt idx="10">
                  <c:v>1.9902647770959625E-3</c:v>
                </c:pt>
                <c:pt idx="11">
                  <c:v>3.2009694271120104E-3</c:v>
                </c:pt>
                <c:pt idx="12">
                  <c:v>4.7693626639091491E-3</c:v>
                </c:pt>
                <c:pt idx="13">
                  <c:v>6.6987825964477388E-3</c:v>
                </c:pt>
                <c:pt idx="14">
                  <c:v>8.9804195654776819E-3</c:v>
                </c:pt>
                <c:pt idx="15">
                  <c:v>1.1596875446533428E-2</c:v>
                </c:pt>
                <c:pt idx="16">
                  <c:v>1.4525192331377834E-2</c:v>
                </c:pt>
                <c:pt idx="17">
                  <c:v>1.7739237601892777E-2</c:v>
                </c:pt>
                <c:pt idx="18">
                  <c:v>2.1211482309767105E-2</c:v>
                </c:pt>
                <c:pt idx="19">
                  <c:v>2.4914268192181677E-2</c:v>
                </c:pt>
                <c:pt idx="20">
                  <c:v>2.8820670371894064E-2</c:v>
                </c:pt>
                <c:pt idx="21">
                  <c:v>3.2905053652394045E-2</c:v>
                </c:pt>
                <c:pt idx="22">
                  <c:v>3.7143403889514204E-2</c:v>
                </c:pt>
                <c:pt idx="23">
                  <c:v>4.1513498687460348E-2</c:v>
                </c:pt>
                <c:pt idx="24">
                  <c:v>4.5994966340804133E-2</c:v>
                </c:pt>
                <c:pt idx="25">
                  <c:v>5.056926935683026E-2</c:v>
                </c:pt>
                <c:pt idx="26">
                  <c:v>5.5219639020028133E-2</c:v>
                </c:pt>
                <c:pt idx="27">
                  <c:v>5.9930979942574236E-2</c:v>
                </c:pt>
                <c:pt idx="28">
                  <c:v>6.4689757936100767E-2</c:v>
                </c:pt>
                <c:pt idx="29">
                  <c:v>6.9483880419839661E-2</c:v>
                </c:pt>
                <c:pt idx="30">
                  <c:v>7.4302575591035591E-2</c:v>
                </c:pt>
                <c:pt idx="31">
                  <c:v>7.9136274438910359E-2</c:v>
                </c:pt>
                <c:pt idx="32">
                  <c:v>8.3976498161696167E-2</c:v>
                </c:pt>
                <c:pt idx="33">
                  <c:v>8.8815752479274312E-2</c:v>
                </c:pt>
                <c:pt idx="34">
                  <c:v>9.3647429596416032E-2</c:v>
                </c:pt>
                <c:pt idx="35">
                  <c:v>9.8465718070928521E-2</c:v>
                </c:pt>
                <c:pt idx="36">
                  <c:v>0.10326552050938687</c:v>
                </c:pt>
                <c:pt idx="37">
                  <c:v>0.10804237880119594</c:v>
                </c:pt>
                <c:pt idx="38">
                  <c:v>0.11279240647378952</c:v>
                </c:pt>
                <c:pt idx="39">
                  <c:v>0.11751222768205505</c:v>
                </c:pt>
                <c:pt idx="40">
                  <c:v>0.12219892231510965</c:v>
                </c:pt>
                <c:pt idx="41">
                  <c:v>0.12684997670023335</c:v>
                </c:pt>
                <c:pt idx="42">
                  <c:v>0.13146323939768156</c:v>
                </c:pt>
                <c:pt idx="43">
                  <c:v>0.13603688160474925</c:v>
                </c:pt>
                <c:pt idx="44">
                  <c:v>0.14056936171825729</c:v>
                </c:pt>
                <c:pt idx="45">
                  <c:v>0.14505939363840659</c:v>
                </c:pt>
                <c:pt idx="46">
                  <c:v>0.14950591843164718</c:v>
                </c:pt>
                <c:pt idx="47">
                  <c:v>0.15390807900433523</c:v>
                </c:pt>
                <c:pt idx="48">
                  <c:v>0.15826519747174705</c:v>
                </c:pt>
                <c:pt idx="49">
                  <c:v>0.1625767549378252</c:v>
                </c:pt>
                <c:pt idx="50">
                  <c:v>0.16684237342968045</c:v>
                </c:pt>
                <c:pt idx="51">
                  <c:v>0.17106179975718039</c:v>
                </c:pt>
                <c:pt idx="52">
                  <c:v>0.1752348910919459</c:v>
                </c:pt>
                <c:pt idx="53">
                  <c:v>0.17936160208185381</c:v>
                </c:pt>
                <c:pt idx="54">
                  <c:v>0.18344197333675671</c:v>
                </c:pt>
                <c:pt idx="55">
                  <c:v>0.18747612113880385</c:v>
                </c:pt>
                <c:pt idx="56">
                  <c:v>0.19146422824656684</c:v>
                </c:pt>
                <c:pt idx="57">
                  <c:v>0.19540653567634902</c:v>
                </c:pt>
                <c:pt idx="58">
                  <c:v>0.19930333535668976</c:v>
                </c:pt>
                <c:pt idx="59">
                  <c:v>0.20315496356338403</c:v>
                </c:pt>
                <c:pt idx="60">
                  <c:v>0.20696179505236878</c:v>
                </c:pt>
                <c:pt idx="61">
                  <c:v>0.21072423781679994</c:v>
                </c:pt>
                <c:pt idx="62">
                  <c:v>0.21444272840260625</c:v>
                </c:pt>
                <c:pt idx="63">
                  <c:v>0.21811772772389837</c:v>
                </c:pt>
                <c:pt idx="64">
                  <c:v>0.22174971732592419</c:v>
                </c:pt>
                <c:pt idx="65">
                  <c:v>0.22533919604886954</c:v>
                </c:pt>
                <c:pt idx="66">
                  <c:v>0.22888667705080445</c:v>
                </c:pt>
                <c:pt idx="67">
                  <c:v>0.23239268515251066</c:v>
                </c:pt>
                <c:pt idx="68">
                  <c:v>0.23585775447088908</c:v>
                </c:pt>
                <c:pt idx="69">
                  <c:v>0.23928242631116214</c:v>
                </c:pt>
                <c:pt idx="70">
                  <c:v>0.24266724729122835</c:v>
                </c:pt>
                <c:pt idx="71">
                  <c:v>0.2460127676743149</c:v>
                </c:pt>
                <c:pt idx="72">
                  <c:v>0.24931953988857103</c:v>
                </c:pt>
                <c:pt idx="73">
                  <c:v>0.25258811721446506</c:v>
                </c:pt>
                <c:pt idx="74">
                  <c:v>0.25581905262282945</c:v>
                </c:pt>
                <c:pt idx="75">
                  <c:v>0.2590128977481696</c:v>
                </c:pt>
                <c:pt idx="76">
                  <c:v>0.2621702019834351</c:v>
                </c:pt>
                <c:pt idx="77">
                  <c:v>0.26529151168386078</c:v>
                </c:pt>
                <c:pt idx="78">
                  <c:v>0.26837736946874902</c:v>
                </c:pt>
                <c:pt idx="79">
                  <c:v>0.27142831361120234</c:v>
                </c:pt>
                <c:pt idx="80">
                  <c:v>0.27444487750681135</c:v>
                </c:pt>
              </c:numCache>
            </c:numRef>
          </c:xVal>
          <c:yVal>
            <c:numRef>
              <c:f>'model 1b'!$A$49:$A$129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ser>
          <c:idx val="5"/>
          <c:order val="5"/>
          <c:tx>
            <c:v>steady_state</c:v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xVal>
            <c:numRef>
              <c:f>'model 1b'!$L$49:$L$129</c:f>
              <c:numCache>
                <c:formatCode>0.00</c:formatCode>
                <c:ptCount val="8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xVal>
          <c:yVal>
            <c:numRef>
              <c:f>'model 1b'!$A$49:$A$129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axId val="107501440"/>
        <c:axId val="107515904"/>
      </c:scatterChart>
      <c:valAx>
        <c:axId val="107501440"/>
        <c:scaling>
          <c:orientation val="minMax"/>
          <c:min val="0"/>
        </c:scaling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(mg/L)</a:t>
                </a:r>
              </a:p>
            </c:rich>
          </c:tx>
          <c:layout>
            <c:manualLayout>
              <c:xMode val="edge"/>
              <c:yMode val="edge"/>
              <c:x val="0.32646470038702946"/>
              <c:y val="3.7828792527694687E-2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7515904"/>
        <c:crosses val="autoZero"/>
        <c:crossBetween val="midCat"/>
      </c:valAx>
      <c:valAx>
        <c:axId val="107515904"/>
        <c:scaling>
          <c:orientation val="maxMin"/>
          <c:min val="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depth(m)</a:t>
                </a:r>
              </a:p>
            </c:rich>
          </c:tx>
          <c:layout>
            <c:manualLayout>
              <c:xMode val="edge"/>
              <c:yMode val="edge"/>
              <c:x val="1.5540389961503075E-2"/>
              <c:y val="0.47758899855827935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7501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65551339981114"/>
          <c:y val="0.34755240102029566"/>
          <c:w val="0.24606661455453629"/>
          <c:h val="0.316816383867511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>
        <c:manualLayout>
          <c:layoutTarget val="inner"/>
          <c:xMode val="edge"/>
          <c:yMode val="edge"/>
          <c:x val="0.16736786853959626"/>
          <c:y val="8.9622641509434248E-2"/>
          <c:w val="0.54543887067872465"/>
          <c:h val="0.78301886792452835"/>
        </c:manualLayout>
      </c:layout>
      <c:scatterChart>
        <c:scatterStyle val="smoothMarker"/>
        <c:ser>
          <c:idx val="0"/>
          <c:order val="0"/>
          <c:tx>
            <c:v>fracture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'model 1b'!$B$49:$B$129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'model 1b'!$D$49:$D$129</c:f>
              <c:numCache>
                <c:formatCode>0.00</c:formatCode>
                <c:ptCount val="81"/>
                <c:pt idx="0">
                  <c:v>0</c:v>
                </c:pt>
                <c:pt idx="1">
                  <c:v>1.780857139155786E-7</c:v>
                </c:pt>
                <c:pt idx="2">
                  <c:v>2.2600342251610783E-4</c:v>
                </c:pt>
                <c:pt idx="3">
                  <c:v>2.6102758546895366E-3</c:v>
                </c:pt>
                <c:pt idx="4">
                  <c:v>9.1466250224785384E-3</c:v>
                </c:pt>
                <c:pt idx="5">
                  <c:v>1.9747353915951837E-2</c:v>
                </c:pt>
                <c:pt idx="6">
                  <c:v>3.3348309968251666E-2</c:v>
                </c:pt>
                <c:pt idx="7">
                  <c:v>4.884682112373806E-2</c:v>
                </c:pt>
                <c:pt idx="8">
                  <c:v>6.5382807492412542E-2</c:v>
                </c:pt>
                <c:pt idx="9">
                  <c:v>8.2351580050549433E-2</c:v>
                </c:pt>
                <c:pt idx="10">
                  <c:v>9.9349040891931084E-2</c:v>
                </c:pt>
                <c:pt idx="11">
                  <c:v>0.11611420531114569</c:v>
                </c:pt>
                <c:pt idx="12">
                  <c:v>0.13248421002693567</c:v>
                </c:pt>
                <c:pt idx="13">
                  <c:v>0.14836223481144484</c:v>
                </c:pt>
                <c:pt idx="14">
                  <c:v>0.16369546144686331</c:v>
                </c:pt>
                <c:pt idx="15">
                  <c:v>0.17846015272639981</c:v>
                </c:pt>
                <c:pt idx="16">
                  <c:v>0.19265160325444475</c:v>
                </c:pt>
                <c:pt idx="17">
                  <c:v>0.20627737769769405</c:v>
                </c:pt>
                <c:pt idx="18">
                  <c:v>0.21935275910729013</c:v>
                </c:pt>
                <c:pt idx="19">
                  <c:v>0.23189768469366223</c:v>
                </c:pt>
                <c:pt idx="20">
                  <c:v>0.24393468605296964</c:v>
                </c:pt>
                <c:pt idx="21">
                  <c:v>0.25548751045326346</c:v>
                </c:pt>
                <c:pt idx="22">
                  <c:v>0.26658020572298557</c:v>
                </c:pt>
                <c:pt idx="23">
                  <c:v>0.27723652171597646</c:v>
                </c:pt>
                <c:pt idx="24">
                  <c:v>0.28747952836649704</c:v>
                </c:pt>
                <c:pt idx="25">
                  <c:v>0.29733138195119491</c:v>
                </c:pt>
                <c:pt idx="26">
                  <c:v>0.30681319254723105</c:v>
                </c:pt>
                <c:pt idx="27">
                  <c:v>0.31594496022594432</c:v>
                </c:pt>
                <c:pt idx="28">
                  <c:v>0.3247455574915481</c:v>
                </c:pt>
                <c:pt idx="29">
                  <c:v>0.33323274234786515</c:v>
                </c:pt>
                <c:pt idx="30">
                  <c:v>0.34142319114111341</c:v>
                </c:pt>
                <c:pt idx="31">
                  <c:v>0.34933254364620692</c:v>
                </c:pt>
                <c:pt idx="32">
                  <c:v>0.35697545518592189</c:v>
                </c:pt>
                <c:pt idx="33">
                  <c:v>0.3643656522016101</c:v>
                </c:pt>
                <c:pt idx="34">
                  <c:v>0.3715159888399433</c:v>
                </c:pt>
                <c:pt idx="35">
                  <c:v>0.37843850292671499</c:v>
                </c:pt>
                <c:pt idx="36">
                  <c:v>0.38514447026619658</c:v>
                </c:pt>
                <c:pt idx="37">
                  <c:v>0.39164445660287983</c:v>
                </c:pt>
                <c:pt idx="38">
                  <c:v>0.39794836686085677</c:v>
                </c:pt>
                <c:pt idx="39">
                  <c:v>0.40406549146918902</c:v>
                </c:pt>
                <c:pt idx="40">
                  <c:v>0.41000454971408384</c:v>
                </c:pt>
                <c:pt idx="41">
                  <c:v>0.41577373014795782</c:v>
                </c:pt>
                <c:pt idx="42">
                  <c:v>0.42138072814407734</c:v>
                </c:pt>
                <c:pt idx="43">
                  <c:v>0.42683278072233044</c:v>
                </c:pt>
                <c:pt idx="44">
                  <c:v>0.43213669879325822</c:v>
                </c:pt>
                <c:pt idx="45">
                  <c:v>0.43729889697834223</c:v>
                </c:pt>
                <c:pt idx="46">
                  <c:v>0.44232542116802698</c:v>
                </c:pt>
                <c:pt idx="47">
                  <c:v>0.44722197397743435</c:v>
                </c:pt>
                <c:pt idx="48">
                  <c:v>0.45199393825489764</c:v>
                </c:pt>
                <c:pt idx="49">
                  <c:v>0.45664639879150659</c:v>
                </c:pt>
                <c:pt idx="50">
                  <c:v>0.46118416237171567</c:v>
                </c:pt>
                <c:pt idx="51">
                  <c:v>0.46561177629626238</c:v>
                </c:pt>
                <c:pt idx="52">
                  <c:v>0.46993354549966027</c:v>
                </c:pt>
                <c:pt idx="53">
                  <c:v>0.47415354837562163</c:v>
                </c:pt>
                <c:pt idx="54">
                  <c:v>0.47827565141510275</c:v>
                </c:pt>
                <c:pt idx="55">
                  <c:v>0.48230352275343602</c:v>
                </c:pt>
                <c:pt idx="56">
                  <c:v>0.48624064471518835</c:v>
                </c:pt>
                <c:pt idx="57">
                  <c:v>0.49009032543812259</c:v>
                </c:pt>
                <c:pt idx="58">
                  <c:v>0.49385570965082692</c:v>
                </c:pt>
                <c:pt idx="59">
                  <c:v>0.49753978867231741</c:v>
                </c:pt>
                <c:pt idx="60">
                  <c:v>0.50114540969612542</c:v>
                </c:pt>
                <c:pt idx="61">
                  <c:v>0.50467528441606047</c:v>
                </c:pt>
                <c:pt idx="62">
                  <c:v>0.508131997045979</c:v>
                </c:pt>
                <c:pt idx="63">
                  <c:v>0.51151801178140355</c:v>
                </c:pt>
                <c:pt idx="64">
                  <c:v>0.51483567974678723</c:v>
                </c:pt>
                <c:pt idx="65">
                  <c:v>0.51808724546847751</c:v>
                </c:pt>
                <c:pt idx="66">
                  <c:v>0.5212748529100435</c:v>
                </c:pt>
                <c:pt idx="67">
                  <c:v>0.52440055110354011</c:v>
                </c:pt>
                <c:pt idx="68">
                  <c:v>0.52746629940745082</c:v>
                </c:pt>
                <c:pt idx="69">
                  <c:v>0.5304739724194949</c:v>
                </c:pt>
                <c:pt idx="70">
                  <c:v>0.5334253645701208</c:v>
                </c:pt>
                <c:pt idx="71">
                  <c:v>0.53632219442039375</c:v>
                </c:pt>
                <c:pt idx="72">
                  <c:v>0.53916610868602088</c:v>
                </c:pt>
                <c:pt idx="73">
                  <c:v>0.54195868600749697</c:v>
                </c:pt>
                <c:pt idx="74">
                  <c:v>0.54470144048472235</c:v>
                </c:pt>
                <c:pt idx="75">
                  <c:v>0.54739582499297579</c:v>
                </c:pt>
                <c:pt idx="76">
                  <c:v>0.55004323429577529</c:v>
                </c:pt>
                <c:pt idx="77">
                  <c:v>0.55264500796892602</c:v>
                </c:pt>
                <c:pt idx="78">
                  <c:v>0.55520243314893092</c:v>
                </c:pt>
                <c:pt idx="79">
                  <c:v>0.55771674711791119</c:v>
                </c:pt>
                <c:pt idx="80">
                  <c:v>0.56018913973624285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'model 1b'!$E$48</c:f>
              <c:strCache>
                <c:ptCount val="1"/>
                <c:pt idx="0">
                  <c:v>0.1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1b'!$B$49:$B$129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'model 1b'!$E$49:$E$129</c:f>
              <c:numCache>
                <c:formatCode>0.00</c:formatCode>
                <c:ptCount val="81"/>
                <c:pt idx="0">
                  <c:v>0</c:v>
                </c:pt>
                <c:pt idx="1">
                  <c:v>8.4857076735589537E-10</c:v>
                </c:pt>
                <c:pt idx="2">
                  <c:v>1.4631482706306542E-5</c:v>
                </c:pt>
                <c:pt idx="3">
                  <c:v>4.0370045576310076E-4</c:v>
                </c:pt>
                <c:pt idx="4">
                  <c:v>2.1899263457414442E-3</c:v>
                </c:pt>
                <c:pt idx="5">
                  <c:v>6.1528022294212725E-3</c:v>
                </c:pt>
                <c:pt idx="6">
                  <c:v>1.2395984949848504E-2</c:v>
                </c:pt>
                <c:pt idx="7">
                  <c:v>2.0609793527755604E-2</c:v>
                </c:pt>
                <c:pt idx="8">
                  <c:v>3.035241945572964E-2</c:v>
                </c:pt>
                <c:pt idx="9">
                  <c:v>4.1195255665719799E-2</c:v>
                </c:pt>
                <c:pt idx="10">
                  <c:v>5.277586276485513E-2</c:v>
                </c:pt>
                <c:pt idx="11">
                  <c:v>6.4807228017489837E-2</c:v>
                </c:pt>
                <c:pt idx="12">
                  <c:v>7.707020481709792E-2</c:v>
                </c:pt>
                <c:pt idx="13">
                  <c:v>8.9401309403250417E-2</c:v>
                </c:pt>
                <c:pt idx="14">
                  <c:v>0.10168071590837169</c:v>
                </c:pt>
                <c:pt idx="15">
                  <c:v>0.11382203910466027</c:v>
                </c:pt>
                <c:pt idx="16">
                  <c:v>0.12576417098138748</c:v>
                </c:pt>
                <c:pt idx="17">
                  <c:v>0.13746496063529134</c:v>
                </c:pt>
                <c:pt idx="18">
                  <c:v>0.14889640113973313</c:v>
                </c:pt>
                <c:pt idx="19">
                  <c:v>0.16004099517078929</c:v>
                </c:pt>
                <c:pt idx="20">
                  <c:v>0.17088902197810207</c:v>
                </c:pt>
                <c:pt idx="21">
                  <c:v>0.18143648554795644</c:v>
                </c:pt>
                <c:pt idx="22">
                  <c:v>0.19168357468817576</c:v>
                </c:pt>
                <c:pt idx="23">
                  <c:v>0.20163350702261873</c:v>
                </c:pt>
                <c:pt idx="24">
                  <c:v>0.21129166089339124</c:v>
                </c:pt>
                <c:pt idx="25">
                  <c:v>0.22066492343778954</c:v>
                </c:pt>
                <c:pt idx="26">
                  <c:v>0.22976120128404598</c:v>
                </c:pt>
                <c:pt idx="27">
                  <c:v>0.23858905384349649</c:v>
                </c:pt>
                <c:pt idx="28">
                  <c:v>0.24715741923044332</c:v>
                </c:pt>
                <c:pt idx="29">
                  <c:v>0.25547541031013976</c:v>
                </c:pt>
                <c:pt idx="30">
                  <c:v>0.26355216393294256</c:v>
                </c:pt>
                <c:pt idx="31">
                  <c:v>0.27139673055807245</c:v>
                </c:pt>
                <c:pt idx="32">
                  <c:v>0.27901799457185783</c:v>
                </c:pt>
                <c:pt idx="33">
                  <c:v>0.28642461793342022</c:v>
                </c:pt>
                <c:pt idx="34">
                  <c:v>0.29362500153446014</c:v>
                </c:pt>
                <c:pt idx="35">
                  <c:v>0.3006272599855202</c:v>
                </c:pt>
                <c:pt idx="36">
                  <c:v>0.30743920654672019</c:v>
                </c:pt>
                <c:pt idx="37">
                  <c:v>0.31406834568639752</c:v>
                </c:pt>
                <c:pt idx="38">
                  <c:v>0.32052187133553289</c:v>
                </c:pt>
                <c:pt idx="39">
                  <c:v>0.32680666935343661</c:v>
                </c:pt>
                <c:pt idx="40">
                  <c:v>0.33292932306393919</c:v>
                </c:pt>
                <c:pt idx="41">
                  <c:v>0.33889612098595512</c:v>
                </c:pt>
                <c:pt idx="42">
                  <c:v>0.34471306608650942</c:v>
                </c:pt>
                <c:pt idx="43">
                  <c:v>0.35038588604214693</c:v>
                </c:pt>
                <c:pt idx="44">
                  <c:v>0.35592004411686018</c:v>
                </c:pt>
                <c:pt idx="45">
                  <c:v>0.36132075035938449</c:v>
                </c:pt>
                <c:pt idx="46">
                  <c:v>0.36659297289616122</c:v>
                </c:pt>
                <c:pt idx="47">
                  <c:v>0.3717414491532518</c:v>
                </c:pt>
                <c:pt idx="48">
                  <c:v>0.37677069688466158</c:v>
                </c:pt>
                <c:pt idx="49">
                  <c:v>0.38168502491874623</c:v>
                </c:pt>
                <c:pt idx="50">
                  <c:v>0.38648854356082118</c:v>
                </c:pt>
                <c:pt idx="51">
                  <c:v>0.39118517461048841</c:v>
                </c:pt>
                <c:pt idx="52">
                  <c:v>0.39577866096783332</c:v>
                </c:pt>
                <c:pt idx="53">
                  <c:v>0.4002725758146064</c:v>
                </c:pt>
                <c:pt idx="54">
                  <c:v>0.40467033136555441</c:v>
                </c:pt>
                <c:pt idx="55">
                  <c:v>0.40897518719184989</c:v>
                </c:pt>
                <c:pt idx="56">
                  <c:v>0.41319025812361576</c:v>
                </c:pt>
                <c:pt idx="57">
                  <c:v>0.41731852174216022</c:v>
                </c:pt>
                <c:pt idx="58">
                  <c:v>0.42136282547514603</c:v>
                </c:pt>
                <c:pt idx="59">
                  <c:v>0.42532589330963688</c:v>
                </c:pt>
                <c:pt idx="60">
                  <c:v>0.42921033213908899</c:v>
                </c:pt>
                <c:pt idx="61">
                  <c:v>0.43301863776095439</c:v>
                </c:pt>
                <c:pt idx="62">
                  <c:v>0.43675320054180977</c:v>
                </c:pt>
                <c:pt idx="63">
                  <c:v>0.44041631076686594</c:v>
                </c:pt>
                <c:pt idx="64">
                  <c:v>0.44401016369047053</c:v>
                </c:pt>
                <c:pt idx="65">
                  <c:v>0.4475368643037938</c:v>
                </c:pt>
                <c:pt idx="66">
                  <c:v>0.45099843183537258</c:v>
                </c:pt>
                <c:pt idx="67">
                  <c:v>0.4543968039995927</c:v>
                </c:pt>
                <c:pt idx="68">
                  <c:v>0.45773384100754511</c:v>
                </c:pt>
                <c:pt idx="69">
                  <c:v>0.46101132935402278</c:v>
                </c:pt>
                <c:pt idx="70">
                  <c:v>0.46423098539373719</c:v>
                </c:pt>
                <c:pt idx="71">
                  <c:v>0.46739445871916563</c:v>
                </c:pt>
                <c:pt idx="72">
                  <c:v>0.47050333535175071</c:v>
                </c:pt>
                <c:pt idx="73">
                  <c:v>0.47355914075753547</c:v>
                </c:pt>
                <c:pt idx="74">
                  <c:v>0.47656334269767031</c:v>
                </c:pt>
                <c:pt idx="75">
                  <c:v>0.47951735392362238</c:v>
                </c:pt>
                <c:pt idx="76">
                  <c:v>0.48242253472633845</c:v>
                </c:pt>
                <c:pt idx="77">
                  <c:v>0.48528019534804212</c:v>
                </c:pt>
                <c:pt idx="78">
                  <c:v>0.4880915982648335</c:v>
                </c:pt>
                <c:pt idx="79">
                  <c:v>0.49085796034774987</c:v>
                </c:pt>
                <c:pt idx="80">
                  <c:v>0.49358045490947178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'model 1b'!$F$48</c:f>
              <c:strCache>
                <c:ptCount val="1"/>
                <c:pt idx="0">
                  <c:v>0.2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'model 1b'!$B$49:$B$129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'model 1b'!$F$49:$F$129</c:f>
              <c:numCache>
                <c:formatCode>0.00</c:formatCode>
                <c:ptCount val="81"/>
                <c:pt idx="0">
                  <c:v>0</c:v>
                </c:pt>
                <c:pt idx="1">
                  <c:v>1.7858227486508164E-12</c:v>
                </c:pt>
                <c:pt idx="2">
                  <c:v>6.348389827159906E-7</c:v>
                </c:pt>
                <c:pt idx="3">
                  <c:v>4.8022228471555906E-5</c:v>
                </c:pt>
                <c:pt idx="4">
                  <c:v>4.3178955813849562E-4</c:v>
                </c:pt>
                <c:pt idx="5">
                  <c:v>1.6442756203849385E-3</c:v>
                </c:pt>
                <c:pt idx="6">
                  <c:v>4.0599171770003828E-3</c:v>
                </c:pt>
                <c:pt idx="7">
                  <c:v>7.8096944837464655E-3</c:v>
                </c:pt>
                <c:pt idx="8">
                  <c:v>1.2835909038491966E-2</c:v>
                </c:pt>
                <c:pt idx="9">
                  <c:v>1.8980326641810041E-2</c:v>
                </c:pt>
                <c:pt idx="10">
                  <c:v>2.6048825059590275E-2</c:v>
                </c:pt>
                <c:pt idx="11">
                  <c:v>3.3848118726828913E-2</c:v>
                </c:pt>
                <c:pt idx="12">
                  <c:v>4.2203155099872269E-2</c:v>
                </c:pt>
                <c:pt idx="13">
                  <c:v>5.0963383470603585E-2</c:v>
                </c:pt>
                <c:pt idx="14">
                  <c:v>6.0003302706024719E-2</c:v>
                </c:pt>
                <c:pt idx="15">
                  <c:v>6.922039765640009E-2</c:v>
                </c:pt>
                <c:pt idx="16">
                  <c:v>7.8532117912755384E-2</c:v>
                </c:pt>
                <c:pt idx="17">
                  <c:v>8.787271977532285E-2</c:v>
                </c:pt>
                <c:pt idx="18">
                  <c:v>9.7190342477951219E-2</c:v>
                </c:pt>
                <c:pt idx="19">
                  <c:v>0.10644445741824171</c:v>
                </c:pt>
                <c:pt idx="20">
                  <c:v>0.11560371518425105</c:v>
                </c:pt>
                <c:pt idx="21">
                  <c:v>0.12464416362343989</c:v>
                </c:pt>
                <c:pt idx="22">
                  <c:v>0.13354779055544119</c:v>
                </c:pt>
                <c:pt idx="23">
                  <c:v>0.14230134070168443</c:v>
                </c:pt>
                <c:pt idx="24">
                  <c:v>0.15089535947378252</c:v>
                </c:pt>
                <c:pt idx="25">
                  <c:v>0.15932342208470773</c:v>
                </c:pt>
                <c:pt idx="26">
                  <c:v>0.16758151289130696</c:v>
                </c:pt>
                <c:pt idx="27">
                  <c:v>0.17566752596893132</c:v>
                </c:pt>
                <c:pt idx="28">
                  <c:v>0.18358086327444401</c:v>
                </c:pt>
                <c:pt idx="29">
                  <c:v>0.19132211127902332</c:v>
                </c:pt>
                <c:pt idx="30">
                  <c:v>0.19889278068730643</c:v>
                </c:pt>
                <c:pt idx="31">
                  <c:v>0.20629509689842207</c:v>
                </c:pt>
                <c:pt idx="32">
                  <c:v>0.21353183131515641</c:v>
                </c:pt>
                <c:pt idx="33">
                  <c:v>0.22060616557314128</c:v>
                </c:pt>
                <c:pt idx="34">
                  <c:v>0.22752158233365449</c:v>
                </c:pt>
                <c:pt idx="35">
                  <c:v>0.23428177753853596</c:v>
                </c:pt>
                <c:pt idx="36">
                  <c:v>0.24089059002732416</c:v>
                </c:pt>
                <c:pt idx="37">
                  <c:v>0.24735194521644877</c:v>
                </c:pt>
                <c:pt idx="38">
                  <c:v>0.25366981017954338</c:v>
                </c:pt>
                <c:pt idx="39">
                  <c:v>0.25984815797952732</c:v>
                </c:pt>
                <c:pt idx="40">
                  <c:v>0.26589093951327558</c:v>
                </c:pt>
                <c:pt idx="41">
                  <c:v>0.27180206145906038</c:v>
                </c:pt>
                <c:pt idx="42">
                  <c:v>0.2775853691820549</c:v>
                </c:pt>
                <c:pt idx="43">
                  <c:v>0.28324463366691477</c:v>
                </c:pt>
                <c:pt idx="44">
                  <c:v>0.28878354171912335</c:v>
                </c:pt>
                <c:pt idx="45">
                  <c:v>0.29420568881662601</c:v>
                </c:pt>
                <c:pt idx="46">
                  <c:v>0.29951457410666915</c:v>
                </c:pt>
                <c:pt idx="47">
                  <c:v>0.30471359713494506</c:v>
                </c:pt>
                <c:pt idx="48">
                  <c:v>0.30980605596921573</c:v>
                </c:pt>
                <c:pt idx="49">
                  <c:v>0.31479514644081519</c:v>
                </c:pt>
                <c:pt idx="50">
                  <c:v>0.31968396227746787</c:v>
                </c:pt>
                <c:pt idx="51">
                  <c:v>0.32447549594182412</c:v>
                </c:pt>
                <c:pt idx="52">
                  <c:v>0.32917264002366742</c:v>
                </c:pt>
                <c:pt idx="53">
                  <c:v>0.33377818906132162</c:v>
                </c:pt>
                <c:pt idx="54">
                  <c:v>0.33829484169041479</c:v>
                </c:pt>
                <c:pt idx="55">
                  <c:v>0.34272520303678489</c:v>
                </c:pt>
                <c:pt idx="56">
                  <c:v>0.34707178728566923</c:v>
                </c:pt>
                <c:pt idx="57">
                  <c:v>0.35133702037193881</c:v>
                </c:pt>
                <c:pt idx="58">
                  <c:v>0.35552324274657954</c:v>
                </c:pt>
                <c:pt idx="59">
                  <c:v>0.35963271218321324</c:v>
                </c:pt>
                <c:pt idx="60">
                  <c:v>0.36366760659554909</c:v>
                </c:pt>
                <c:pt idx="61">
                  <c:v>0.36763002684250523</c:v>
                </c:pt>
                <c:pt idx="62">
                  <c:v>0.37152199950256981</c:v>
                </c:pt>
                <c:pt idx="63">
                  <c:v>0.37534547960295317</c:v>
                </c:pt>
                <c:pt idx="64">
                  <c:v>0.37910235329234743</c:v>
                </c:pt>
                <c:pt idx="65">
                  <c:v>0.38279444044881727</c:v>
                </c:pt>
                <c:pt idx="66">
                  <c:v>0.38642349721654856</c:v>
                </c:pt>
                <c:pt idx="67">
                  <c:v>0.38999121846699181</c:v>
                </c:pt>
                <c:pt idx="68">
                  <c:v>0.39349924018142479</c:v>
                </c:pt>
                <c:pt idx="69">
                  <c:v>0.39694914175315188</c:v>
                </c:pt>
                <c:pt idx="70">
                  <c:v>0.40034244820853626</c:v>
                </c:pt>
                <c:pt idx="71">
                  <c:v>0.40368063234684826</c:v>
                </c:pt>
                <c:pt idx="72">
                  <c:v>0.40696511679953185</c:v>
                </c:pt>
                <c:pt idx="73">
                  <c:v>0.410197276010001</c:v>
                </c:pt>
                <c:pt idx="74">
                  <c:v>0.41337843813544506</c:v>
                </c:pt>
                <c:pt idx="75">
                  <c:v>0.41650988687244928</c:v>
                </c:pt>
                <c:pt idx="76">
                  <c:v>0.41959286320843137</c:v>
                </c:pt>
                <c:pt idx="77">
                  <c:v>0.4226285671010841</c:v>
                </c:pt>
                <c:pt idx="78">
                  <c:v>0.42561815908811518</c:v>
                </c:pt>
                <c:pt idx="79">
                  <c:v>0.42856276182965236</c:v>
                </c:pt>
                <c:pt idx="80">
                  <c:v>0.43146346158572557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'model 1b'!$G$48</c:f>
              <c:strCache>
                <c:ptCount val="1"/>
                <c:pt idx="0">
                  <c:v>0.3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1b'!$B$49:$B$129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'model 1b'!$G$49:$G$129</c:f>
              <c:numCache>
                <c:formatCode>0.00</c:formatCode>
                <c:ptCount val="81"/>
                <c:pt idx="0">
                  <c:v>0</c:v>
                </c:pt>
                <c:pt idx="1">
                  <c:v>1.6528072885795516E-15</c:v>
                </c:pt>
                <c:pt idx="2">
                  <c:v>1.8395868577305756E-8</c:v>
                </c:pt>
                <c:pt idx="3">
                  <c:v>4.3807975171894498E-6</c:v>
                </c:pt>
                <c:pt idx="4">
                  <c:v>6.9932898794533571E-5</c:v>
                </c:pt>
                <c:pt idx="5">
                  <c:v>3.7604676829960937E-4</c:v>
                </c:pt>
                <c:pt idx="6">
                  <c:v>1.1692777991481051E-3</c:v>
                </c:pt>
                <c:pt idx="7">
                  <c:v>2.6530199189154224E-3</c:v>
                </c:pt>
                <c:pt idx="8">
                  <c:v>4.9369543042236952E-3</c:v>
                </c:pt>
                <c:pt idx="9">
                  <c:v>8.0426308426075899E-3</c:v>
                </c:pt>
                <c:pt idx="10">
                  <c:v>1.1929741419423046E-2</c:v>
                </c:pt>
                <c:pt idx="11">
                  <c:v>1.6522380769074196E-2</c:v>
                </c:pt>
                <c:pt idx="12">
                  <c:v>2.1728641980393704E-2</c:v>
                </c:pt>
                <c:pt idx="13">
                  <c:v>2.7453277527974773E-2</c:v>
                </c:pt>
                <c:pt idx="14">
                  <c:v>3.3605049118916375E-2</c:v>
                </c:pt>
                <c:pt idx="15">
                  <c:v>4.0100503680000177E-2</c:v>
                </c:pt>
                <c:pt idx="16">
                  <c:v>4.6865524409759995E-2</c:v>
                </c:pt>
                <c:pt idx="17">
                  <c:v>5.3835581682874167E-2</c:v>
                </c:pt>
                <c:pt idx="18">
                  <c:v>6.095527671269152E-2</c:v>
                </c:pt>
                <c:pt idx="19">
                  <c:v>6.8177541158218169E-2</c:v>
                </c:pt>
                <c:pt idx="20">
                  <c:v>7.5462706441041139E-2</c:v>
                </c:pt>
                <c:pt idx="21">
                  <c:v>8.2777562980011821E-2</c:v>
                </c:pt>
                <c:pt idx="22">
                  <c:v>9.0094472604324238E-2</c:v>
                </c:pt>
                <c:pt idx="23">
                  <c:v>9.7390563640269878E-2</c:v>
                </c:pt>
                <c:pt idx="24">
                  <c:v>0.10464701874877402</c:v>
                </c:pt>
                <c:pt idx="25">
                  <c:v>0.11184845489252071</c:v>
                </c:pt>
                <c:pt idx="26">
                  <c:v>0.1189823893200761</c:v>
                </c:pt>
                <c:pt idx="27">
                  <c:v>0.12603878300733529</c:v>
                </c:pt>
                <c:pt idx="28">
                  <c:v>0.13300965227825667</c:v>
                </c:pt>
                <c:pt idx="29">
                  <c:v>0.13988873954641123</c:v>
                </c:pt>
                <c:pt idx="30">
                  <c:v>0.1466712348080601</c:v>
                </c:pt>
                <c:pt idx="31">
                  <c:v>0.15335354040454541</c:v>
                </c:pt>
                <c:pt idx="32">
                  <c:v>0.15993307250389988</c:v>
                </c:pt>
                <c:pt idx="33">
                  <c:v>0.16640809364704712</c:v>
                </c:pt>
                <c:pt idx="34">
                  <c:v>0.1727775715230091</c:v>
                </c:pt>
                <c:pt idx="35">
                  <c:v>0.17904105986464103</c:v>
                </c:pt>
                <c:pt idx="36">
                  <c:v>0.18519859798946725</c:v>
                </c:pt>
                <c:pt idx="37">
                  <c:v>0.1912506260542739</c:v>
                </c:pt>
                <c:pt idx="38">
                  <c:v>0.19719791355554039</c:v>
                </c:pt>
                <c:pt idx="39">
                  <c:v>0.20304149900014679</c:v>
                </c:pt>
                <c:pt idx="40">
                  <c:v>0.20878263900152438</c:v>
                </c:pt>
                <c:pt idx="41">
                  <c:v>0.21442276533451343</c:v>
                </c:pt>
                <c:pt idx="42">
                  <c:v>0.21996344871551221</c:v>
                </c:pt>
                <c:pt idx="43">
                  <c:v>0.22540636827016303</c:v>
                </c:pt>
                <c:pt idx="44">
                  <c:v>0.23075328581475807</c:v>
                </c:pt>
                <c:pt idx="45">
                  <c:v>0.23600602421493888</c:v>
                </c:pt>
                <c:pt idx="46">
                  <c:v>0.24116644920045305</c:v>
                </c:pt>
                <c:pt idx="47">
                  <c:v>0.24623645411134643</c:v>
                </c:pt>
                <c:pt idx="48">
                  <c:v>0.25121794713207946</c:v>
                </c:pt>
                <c:pt idx="49">
                  <c:v>0.25611284063822937</c:v>
                </c:pt>
                <c:pt idx="50">
                  <c:v>0.26092304233775954</c:v>
                </c:pt>
                <c:pt idx="51">
                  <c:v>0.26565044793714065</c:v>
                </c:pt>
                <c:pt idx="52">
                  <c:v>0.27029693510331576</c:v>
                </c:pt>
                <c:pt idx="53">
                  <c:v>0.27486435852686197</c:v>
                </c:pt>
                <c:pt idx="54">
                  <c:v>0.27935454592077891</c:v>
                </c:pt>
                <c:pt idx="55">
                  <c:v>0.28376929481388347</c:v>
                </c:pt>
                <c:pt idx="56">
                  <c:v>0.28811037001866602</c:v>
                </c:pt>
                <c:pt idx="57">
                  <c:v>0.29237950167108995</c:v>
                </c:pt>
                <c:pt idx="58">
                  <c:v>0.29657838375488099</c:v>
                </c:pt>
                <c:pt idx="59">
                  <c:v>0.3007086730355768</c:v>
                </c:pt>
                <c:pt idx="60">
                  <c:v>0.30477198834050179</c:v>
                </c:pt>
                <c:pt idx="61">
                  <c:v>0.30876991013009203</c:v>
                </c:pt>
                <c:pt idx="62">
                  <c:v>0.31270398031389601</c:v>
                </c:pt>
                <c:pt idx="63">
                  <c:v>0.31657570227133491</c:v>
                </c:pt>
                <c:pt idx="64">
                  <c:v>0.32038654104307485</c:v>
                </c:pt>
                <c:pt idx="65">
                  <c:v>0.32413792366380401</c:v>
                </c:pt>
                <c:pt idx="66">
                  <c:v>0.3278312396114349</c:v>
                </c:pt>
                <c:pt idx="67">
                  <c:v>0.33146784135139029</c:v>
                </c:pt>
                <c:pt idx="68">
                  <c:v>0.33504904495771815</c:v>
                </c:pt>
                <c:pt idx="69">
                  <c:v>0.33857613079547511</c:v>
                </c:pt>
                <c:pt idx="70">
                  <c:v>0.34205034425109337</c:v>
                </c:pt>
                <c:pt idx="71">
                  <c:v>0.34547289649942203</c:v>
                </c:pt>
                <c:pt idx="72">
                  <c:v>0.34884496529782494</c:v>
                </c:pt>
                <c:pt idx="73">
                  <c:v>0.35216769579917573</c:v>
                </c:pt>
                <c:pt idx="74">
                  <c:v>0.35544220137683324</c:v>
                </c:pt>
                <c:pt idx="75">
                  <c:v>0.35866956445577625</c:v>
                </c:pt>
                <c:pt idx="76">
                  <c:v>0.36185083734497381</c:v>
                </c:pt>
                <c:pt idx="77">
                  <c:v>0.36498704306689889</c:v>
                </c:pt>
                <c:pt idx="78">
                  <c:v>0.36807917618074026</c:v>
                </c:pt>
                <c:pt idx="79">
                  <c:v>0.37112820359649579</c:v>
                </c:pt>
                <c:pt idx="80">
                  <c:v>0.37413506537759544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'model 1b'!$I$48</c:f>
              <c:strCache>
                <c:ptCount val="1"/>
                <c:pt idx="0">
                  <c:v>0.5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1b'!$B$49:$B$129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'model 1b'!$I$49:$I$129</c:f>
              <c:numCache>
                <c:formatCode>0.00</c:formatCode>
                <c:ptCount val="81"/>
                <c:pt idx="0">
                  <c:v>0</c:v>
                </c:pt>
                <c:pt idx="1">
                  <c:v>1.190609482823213E-22</c:v>
                </c:pt>
                <c:pt idx="2">
                  <c:v>4.5570809884337807E-12</c:v>
                </c:pt>
                <c:pt idx="3">
                  <c:v>1.6304391225915801E-8</c:v>
                </c:pt>
                <c:pt idx="4">
                  <c:v>1.0091790914046328E-6</c:v>
                </c:pt>
                <c:pt idx="5">
                  <c:v>1.2245546208600189E-5</c:v>
                </c:pt>
                <c:pt idx="6">
                  <c:v>6.5553196299639183E-5</c:v>
                </c:pt>
                <c:pt idx="7">
                  <c:v>2.1938393144749213E-4</c:v>
                </c:pt>
                <c:pt idx="8">
                  <c:v>5.4667703130117928E-4</c:v>
                </c:pt>
                <c:pt idx="9">
                  <c:v>1.1180947680937692E-3</c:v>
                </c:pt>
                <c:pt idx="10">
                  <c:v>1.9902647770959625E-3</c:v>
                </c:pt>
                <c:pt idx="11">
                  <c:v>3.2009694271120104E-3</c:v>
                </c:pt>
                <c:pt idx="12">
                  <c:v>4.7693626639091491E-3</c:v>
                </c:pt>
                <c:pt idx="13">
                  <c:v>6.6987825964477388E-3</c:v>
                </c:pt>
                <c:pt idx="14">
                  <c:v>8.9804195654776819E-3</c:v>
                </c:pt>
                <c:pt idx="15">
                  <c:v>1.1596875446533428E-2</c:v>
                </c:pt>
                <c:pt idx="16">
                  <c:v>1.4525192331377834E-2</c:v>
                </c:pt>
                <c:pt idx="17">
                  <c:v>1.7739237601892777E-2</c:v>
                </c:pt>
                <c:pt idx="18">
                  <c:v>2.1211482309767105E-2</c:v>
                </c:pt>
                <c:pt idx="19">
                  <c:v>2.4914268192181677E-2</c:v>
                </c:pt>
                <c:pt idx="20">
                  <c:v>2.8820670371894064E-2</c:v>
                </c:pt>
                <c:pt idx="21">
                  <c:v>3.2905053652394045E-2</c:v>
                </c:pt>
                <c:pt idx="22">
                  <c:v>3.7143403889514204E-2</c:v>
                </c:pt>
                <c:pt idx="23">
                  <c:v>4.1513498687460348E-2</c:v>
                </c:pt>
                <c:pt idx="24">
                  <c:v>4.5994966340804133E-2</c:v>
                </c:pt>
                <c:pt idx="25">
                  <c:v>5.056926935683026E-2</c:v>
                </c:pt>
                <c:pt idx="26">
                  <c:v>5.5219639020028133E-2</c:v>
                </c:pt>
                <c:pt idx="27">
                  <c:v>5.9930979942574236E-2</c:v>
                </c:pt>
                <c:pt idx="28">
                  <c:v>6.4689757936100767E-2</c:v>
                </c:pt>
                <c:pt idx="29">
                  <c:v>6.9483880419839661E-2</c:v>
                </c:pt>
                <c:pt idx="30">
                  <c:v>7.4302575591035591E-2</c:v>
                </c:pt>
                <c:pt idx="31">
                  <c:v>7.9136274438910359E-2</c:v>
                </c:pt>
                <c:pt idx="32">
                  <c:v>8.3976498161696167E-2</c:v>
                </c:pt>
                <c:pt idx="33">
                  <c:v>8.8815752479274312E-2</c:v>
                </c:pt>
                <c:pt idx="34">
                  <c:v>9.3647429596416032E-2</c:v>
                </c:pt>
                <c:pt idx="35">
                  <c:v>9.8465718070928521E-2</c:v>
                </c:pt>
                <c:pt idx="36">
                  <c:v>0.10326552050938687</c:v>
                </c:pt>
                <c:pt idx="37">
                  <c:v>0.10804237880119594</c:v>
                </c:pt>
                <c:pt idx="38">
                  <c:v>0.11279240647378952</c:v>
                </c:pt>
                <c:pt idx="39">
                  <c:v>0.11751222768205505</c:v>
                </c:pt>
                <c:pt idx="40">
                  <c:v>0.12219892231510965</c:v>
                </c:pt>
                <c:pt idx="41">
                  <c:v>0.12684997670023335</c:v>
                </c:pt>
                <c:pt idx="42">
                  <c:v>0.13146323939768156</c:v>
                </c:pt>
                <c:pt idx="43">
                  <c:v>0.13603688160474925</c:v>
                </c:pt>
                <c:pt idx="44">
                  <c:v>0.14056936171825729</c:v>
                </c:pt>
                <c:pt idx="45">
                  <c:v>0.14505939363840659</c:v>
                </c:pt>
                <c:pt idx="46">
                  <c:v>0.14950591843164718</c:v>
                </c:pt>
                <c:pt idx="47">
                  <c:v>0.15390807900433523</c:v>
                </c:pt>
                <c:pt idx="48">
                  <c:v>0.15826519747174705</c:v>
                </c:pt>
                <c:pt idx="49">
                  <c:v>0.1625767549378252</c:v>
                </c:pt>
                <c:pt idx="50">
                  <c:v>0.16684237342968045</c:v>
                </c:pt>
                <c:pt idx="51">
                  <c:v>0.17106179975718039</c:v>
                </c:pt>
                <c:pt idx="52">
                  <c:v>0.1752348910919459</c:v>
                </c:pt>
                <c:pt idx="53">
                  <c:v>0.17936160208185381</c:v>
                </c:pt>
                <c:pt idx="54">
                  <c:v>0.18344197333675671</c:v>
                </c:pt>
                <c:pt idx="55">
                  <c:v>0.18747612113880385</c:v>
                </c:pt>
                <c:pt idx="56">
                  <c:v>0.19146422824656684</c:v>
                </c:pt>
                <c:pt idx="57">
                  <c:v>0.19540653567634902</c:v>
                </c:pt>
                <c:pt idx="58">
                  <c:v>0.19930333535668976</c:v>
                </c:pt>
                <c:pt idx="59">
                  <c:v>0.20315496356338403</c:v>
                </c:pt>
                <c:pt idx="60">
                  <c:v>0.20696179505236878</c:v>
                </c:pt>
                <c:pt idx="61">
                  <c:v>0.21072423781679994</c:v>
                </c:pt>
                <c:pt idx="62">
                  <c:v>0.21444272840260625</c:v>
                </c:pt>
                <c:pt idx="63">
                  <c:v>0.21811772772389837</c:v>
                </c:pt>
                <c:pt idx="64">
                  <c:v>0.22174971732592419</c:v>
                </c:pt>
                <c:pt idx="65">
                  <c:v>0.22533919604886954</c:v>
                </c:pt>
                <c:pt idx="66">
                  <c:v>0.22888667705080445</c:v>
                </c:pt>
                <c:pt idx="67">
                  <c:v>0.23239268515251066</c:v>
                </c:pt>
                <c:pt idx="68">
                  <c:v>0.23585775447088908</c:v>
                </c:pt>
                <c:pt idx="69">
                  <c:v>0.23928242631116214</c:v>
                </c:pt>
                <c:pt idx="70">
                  <c:v>0.24266724729122835</c:v>
                </c:pt>
                <c:pt idx="71">
                  <c:v>0.2460127676743149</c:v>
                </c:pt>
                <c:pt idx="72">
                  <c:v>0.24931953988857103</c:v>
                </c:pt>
                <c:pt idx="73">
                  <c:v>0.25258811721446506</c:v>
                </c:pt>
                <c:pt idx="74">
                  <c:v>0.25581905262282945</c:v>
                </c:pt>
                <c:pt idx="75">
                  <c:v>0.2590128977481696</c:v>
                </c:pt>
                <c:pt idx="76">
                  <c:v>0.2621702019834351</c:v>
                </c:pt>
                <c:pt idx="77">
                  <c:v>0.26529151168386078</c:v>
                </c:pt>
                <c:pt idx="78">
                  <c:v>0.26837736946874902</c:v>
                </c:pt>
                <c:pt idx="79">
                  <c:v>0.27142831361120234</c:v>
                </c:pt>
                <c:pt idx="80">
                  <c:v>0.27444487750681135</c:v>
                </c:pt>
              </c:numCache>
            </c:numRef>
          </c:yVal>
          <c:smooth val="1"/>
        </c:ser>
        <c:ser>
          <c:idx val="5"/>
          <c:order val="5"/>
          <c:tx>
            <c:v>steady_state</c:v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xVal>
            <c:numRef>
              <c:f>'model 1b'!$B$49:$B$129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'model 1b'!$L$49:$L$129</c:f>
              <c:numCache>
                <c:formatCode>0.00</c:formatCode>
                <c:ptCount val="8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yVal>
          <c:smooth val="1"/>
        </c:ser>
        <c:axId val="107642880"/>
        <c:axId val="107644800"/>
      </c:scatterChart>
      <c:valAx>
        <c:axId val="107642880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(years)</a:t>
                </a:r>
              </a:p>
            </c:rich>
          </c:tx>
          <c:layout>
            <c:manualLayout>
              <c:xMode val="edge"/>
              <c:yMode val="edge"/>
              <c:x val="0.32981318511656743"/>
              <c:y val="0.9363206648349283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07644800"/>
        <c:crosses val="autoZero"/>
        <c:crossBetween val="midCat"/>
      </c:valAx>
      <c:valAx>
        <c:axId val="107644800"/>
        <c:scaling>
          <c:orientation val="minMax"/>
          <c:min val="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(mg/L)</a:t>
                </a:r>
              </a:p>
            </c:rich>
          </c:tx>
          <c:layout>
            <c:manualLayout>
              <c:xMode val="edge"/>
              <c:yMode val="edge"/>
              <c:x val="4.1841902115176778E-2"/>
              <c:y val="0.3938679796173034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7642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922868194810764"/>
          <c:y val="0.32311321740520138"/>
          <c:w val="0.24859039678863717"/>
          <c:h val="0.3160377903581728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>
        <c:manualLayout>
          <c:layoutTarget val="inner"/>
          <c:xMode val="edge"/>
          <c:yMode val="edge"/>
          <c:x val="0.14496314496314525"/>
          <c:y val="0.15023508618298501"/>
          <c:w val="0.60340532362455879"/>
          <c:h val="0.79342904890388743"/>
        </c:manualLayout>
      </c:layout>
      <c:scatterChart>
        <c:scatterStyle val="smoothMarker"/>
        <c:ser>
          <c:idx val="0"/>
          <c:order val="0"/>
          <c:tx>
            <c:v>fracture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'model 2'!$D$51:$D$131</c:f>
              <c:numCache>
                <c:formatCode>0.00</c:formatCode>
                <c:ptCount val="81"/>
                <c:pt idx="0">
                  <c:v>1</c:v>
                </c:pt>
                <c:pt idx="1">
                  <c:v>0.64305450666299713</c:v>
                </c:pt>
                <c:pt idx="2">
                  <c:v>0.48517741515973256</c:v>
                </c:pt>
                <c:pt idx="3">
                  <c:v>0.40514341910362672</c:v>
                </c:pt>
                <c:pt idx="4">
                  <c:v>0.35488385994661154</c:v>
                </c:pt>
                <c:pt idx="5">
                  <c:v>0.31961113505348426</c:v>
                </c:pt>
                <c:pt idx="6">
                  <c:v>0.293112606312395</c:v>
                </c:pt>
                <c:pt idx="7">
                  <c:v>0.27226800746082747</c:v>
                </c:pt>
                <c:pt idx="8">
                  <c:v>0.2553170486156926</c:v>
                </c:pt>
                <c:pt idx="9">
                  <c:v>0.24118173913159291</c:v>
                </c:pt>
                <c:pt idx="10">
                  <c:v>0.22916026916047194</c:v>
                </c:pt>
                <c:pt idx="11">
                  <c:v>0.2187735309904546</c:v>
                </c:pt>
                <c:pt idx="12">
                  <c:v>0.2096818108898344</c:v>
                </c:pt>
                <c:pt idx="13">
                  <c:v>0.20163664683365412</c:v>
                </c:pt>
                <c:pt idx="14">
                  <c:v>0.19445155954529891</c:v>
                </c:pt>
                <c:pt idx="15">
                  <c:v>0.18798349444108364</c:v>
                </c:pt>
                <c:pt idx="16">
                  <c:v>0.18212063115401023</c:v>
                </c:pt>
                <c:pt idx="17">
                  <c:v>0.17677413017861299</c:v>
                </c:pt>
                <c:pt idx="18">
                  <c:v>0.17187239722131986</c:v>
                </c:pt>
                <c:pt idx="19">
                  <c:v>0.16735700527206343</c:v>
                </c:pt>
                <c:pt idx="20">
                  <c:v>0.16317973643371531</c:v>
                </c:pt>
                <c:pt idx="21">
                  <c:v>0.15930039740667734</c:v>
                </c:pt>
                <c:pt idx="22">
                  <c:v>0.15568518035743084</c:v>
                </c:pt>
                <c:pt idx="23">
                  <c:v>0.15230541524047836</c:v>
                </c:pt>
                <c:pt idx="24">
                  <c:v>0.14913660768704262</c:v>
                </c:pt>
                <c:pt idx="25">
                  <c:v>0.14615768830214293</c:v>
                </c:pt>
                <c:pt idx="26">
                  <c:v>0.1433504205790086</c:v>
                </c:pt>
                <c:pt idx="27">
                  <c:v>0.14069892928775607</c:v>
                </c:pt>
                <c:pt idx="28">
                  <c:v>0.1381893214012373</c:v>
                </c:pt>
                <c:pt idx="29">
                  <c:v>0.13580937883859923</c:v>
                </c:pt>
                <c:pt idx="30">
                  <c:v>0.13354830748177271</c:v>
                </c:pt>
                <c:pt idx="31">
                  <c:v>0.13139653067729062</c:v>
                </c:pt>
                <c:pt idx="32">
                  <c:v>0.12934551819594264</c:v>
                </c:pt>
                <c:pt idx="33">
                  <c:v>0.12738764367260136</c:v>
                </c:pt>
                <c:pt idx="34">
                  <c:v>0.1255160650863707</c:v>
                </c:pt>
                <c:pt idx="35">
                  <c:v>0.1237246240058818</c:v>
                </c:pt>
                <c:pt idx="36">
                  <c:v>0.12200776021446424</c:v>
                </c:pt>
                <c:pt idx="37">
                  <c:v>0.12036043901556703</c:v>
                </c:pt>
                <c:pt idx="38">
                  <c:v>0.11877808905119225</c:v>
                </c:pt>
                <c:pt idx="39">
                  <c:v>0.11725654888255366</c:v>
                </c:pt>
                <c:pt idx="40">
                  <c:v>0.11579202091019702</c:v>
                </c:pt>
                <c:pt idx="41">
                  <c:v>0.11438103147088552</c:v>
                </c:pt>
                <c:pt idx="42">
                  <c:v>0.11302039615602077</c:v>
                </c:pt>
                <c:pt idx="43">
                  <c:v>0.11170718956287207</c:v>
                </c:pt>
                <c:pt idx="44">
                  <c:v>0.11043871882422174</c:v>
                </c:pt>
                <c:pt idx="45">
                  <c:v>0.10921250037103403</c:v>
                </c:pt>
                <c:pt idx="46">
                  <c:v>0.10802623947161605</c:v>
                </c:pt>
                <c:pt idx="47">
                  <c:v>0.10687781216354031</c:v>
                </c:pt>
                <c:pt idx="48">
                  <c:v>0.10576524925451758</c:v>
                </c:pt>
                <c:pt idx="49">
                  <c:v>0.10468672211794594</c:v>
                </c:pt>
                <c:pt idx="50">
                  <c:v>0.10364053004996787</c:v>
                </c:pt>
                <c:pt idx="51">
                  <c:v>0.10262508898914602</c:v>
                </c:pt>
                <c:pt idx="52">
                  <c:v>0.10163892142853048</c:v>
                </c:pt>
                <c:pt idx="53">
                  <c:v>0.10068064737396565</c:v>
                </c:pt>
                <c:pt idx="54">
                  <c:v>9.974897622277612E-2</c:v>
                </c:pt>
                <c:pt idx="55">
                  <c:v>9.8842699454119609E-2</c:v>
                </c:pt>
                <c:pt idx="56">
                  <c:v>9.7960684036848322E-2</c:v>
                </c:pt>
                <c:pt idx="57">
                  <c:v>9.7101866473102483E-2</c:v>
                </c:pt>
                <c:pt idx="58">
                  <c:v>9.626524740642961E-2</c:v>
                </c:pt>
                <c:pt idx="59">
                  <c:v>9.5449886732268618E-2</c:v>
                </c:pt>
                <c:pt idx="60">
                  <c:v>9.4654899156402239E-2</c:v>
                </c:pt>
                <c:pt idx="61">
                  <c:v>9.3879450153672384E-2</c:v>
                </c:pt>
                <c:pt idx="62">
                  <c:v>9.3122752285012877E-2</c:v>
                </c:pt>
                <c:pt idx="63">
                  <c:v>9.2384061835849129E-2</c:v>
                </c:pt>
                <c:pt idx="64">
                  <c:v>9.1662675743244382E-2</c:v>
                </c:pt>
                <c:pt idx="65">
                  <c:v>9.0957928782930075E-2</c:v>
                </c:pt>
                <c:pt idx="66">
                  <c:v>9.0269190990636572E-2</c:v>
                </c:pt>
                <c:pt idx="67">
                  <c:v>8.9595865295007959E-2</c:v>
                </c:pt>
                <c:pt idx="68">
                  <c:v>8.8937385341881114E-2</c:v>
                </c:pt>
                <c:pt idx="69">
                  <c:v>8.8293213491914102E-2</c:v>
                </c:pt>
                <c:pt idx="70">
                  <c:v>8.7662838975471225E-2</c:v>
                </c:pt>
                <c:pt idx="71">
                  <c:v>8.7045776190376234E-2</c:v>
                </c:pt>
                <c:pt idx="72">
                  <c:v>8.6441563129641796E-2</c:v>
                </c:pt>
                <c:pt idx="73">
                  <c:v>8.5849759927605129E-2</c:v>
                </c:pt>
                <c:pt idx="74">
                  <c:v>8.5269947514074795E-2</c:v>
                </c:pt>
                <c:pt idx="75">
                  <c:v>8.4701726367133467E-2</c:v>
                </c:pt>
                <c:pt idx="76">
                  <c:v>8.4144715356157862E-2</c:v>
                </c:pt>
                <c:pt idx="77">
                  <c:v>8.3598550667448812E-2</c:v>
                </c:pt>
                <c:pt idx="78">
                  <c:v>8.3062884805585657E-2</c:v>
                </c:pt>
                <c:pt idx="79">
                  <c:v>8.2537385664278817E-2</c:v>
                </c:pt>
                <c:pt idx="80">
                  <c:v>8.2021735661076844E-2</c:v>
                </c:pt>
              </c:numCache>
            </c:numRef>
          </c:xVal>
          <c:yVal>
            <c:numRef>
              <c:f>'model 2'!$A$51:$A$131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ser>
          <c:idx val="6"/>
          <c:order val="1"/>
          <c:tx>
            <c:v>EPM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2'!$L$51:$L$131</c:f>
              <c:numCache>
                <c:formatCode>0.00</c:formatCode>
                <c:ptCount val="81"/>
                <c:pt idx="0">
                  <c:v>1</c:v>
                </c:pt>
                <c:pt idx="1">
                  <c:v>0.99999965949158987</c:v>
                </c:pt>
                <c:pt idx="2">
                  <c:v>0.95142666624748906</c:v>
                </c:pt>
                <c:pt idx="3">
                  <c:v>0.43934223977671888</c:v>
                </c:pt>
                <c:pt idx="4">
                  <c:v>7.5825584834943047E-2</c:v>
                </c:pt>
                <c:pt idx="5">
                  <c:v>7.2612175874872276E-3</c:v>
                </c:pt>
                <c:pt idx="6">
                  <c:v>5.0110245828126777E-4</c:v>
                </c:pt>
                <c:pt idx="7">
                  <c:v>2.8507561041558863E-5</c:v>
                </c:pt>
                <c:pt idx="8">
                  <c:v>1.4367455648830226E-6</c:v>
                </c:pt>
                <c:pt idx="9">
                  <c:v>6.6844740760842194E-8</c:v>
                </c:pt>
                <c:pt idx="10">
                  <c:v>2.9435190077897665E-9</c:v>
                </c:pt>
                <c:pt idx="11">
                  <c:v>1.2464820963610631E-10</c:v>
                </c:pt>
                <c:pt idx="12">
                  <c:v>5.1298148823618637E-12</c:v>
                </c:pt>
                <c:pt idx="13">
                  <c:v>2.0667268344236759E-13</c:v>
                </c:pt>
                <c:pt idx="14">
                  <c:v>8.1395805641058036E-15</c:v>
                </c:pt>
                <c:pt idx="15">
                  <c:v>3.3388740103308195E-16</c:v>
                </c:pt>
                <c:pt idx="16">
                  <c:v>-2.7879750605846992E-17</c:v>
                </c:pt>
                <c:pt idx="17">
                  <c:v>-1.1527774829911932E-18</c:v>
                </c:pt>
                <c:pt idx="18">
                  <c:v>-4.714133722930812E-20</c:v>
                </c:pt>
                <c:pt idx="19">
                  <c:v>-1.9100672900084664E-21</c:v>
                </c:pt>
                <c:pt idx="20">
                  <c:v>-7.6791880488146693E-23</c:v>
                </c:pt>
                <c:pt idx="21">
                  <c:v>-3.0669661804725586E-24</c:v>
                </c:pt>
                <c:pt idx="22">
                  <c:v>-1.2179870522169798E-25</c:v>
                </c:pt>
                <c:pt idx="23">
                  <c:v>-4.8134426004854672E-27</c:v>
                </c:pt>
                <c:pt idx="24">
                  <c:v>-1.8942173083899209E-28</c:v>
                </c:pt>
                <c:pt idx="25">
                  <c:v>-7.4267682299313072E-30</c:v>
                </c:pt>
                <c:pt idx="26">
                  <c:v>-2.9024448253647021E-31</c:v>
                </c:pt>
                <c:pt idx="27">
                  <c:v>-1.131070943936536E-32</c:v>
                </c:pt>
                <c:pt idx="28">
                  <c:v>-4.396635806640029E-34</c:v>
                </c:pt>
                <c:pt idx="29">
                  <c:v>-1.7052125324617952E-35</c:v>
                </c:pt>
                <c:pt idx="30">
                  <c:v>-6.6003897884483579E-37</c:v>
                </c:pt>
                <c:pt idx="31">
                  <c:v>-2.5502644289870239E-38</c:v>
                </c:pt>
                <c:pt idx="32">
                  <c:v>-9.8379594501011553E-40</c:v>
                </c:pt>
                <c:pt idx="33">
                  <c:v>-3.7896456074103264E-41</c:v>
                </c:pt>
                <c:pt idx="34">
                  <c:v>-1.4578973735487129E-42</c:v>
                </c:pt>
                <c:pt idx="35">
                  <c:v>-5.6020093776206513E-44</c:v>
                </c:pt>
                <c:pt idx="36">
                  <c:v>-2.150288419719237E-45</c:v>
                </c:pt>
                <c:pt idx="37">
                  <c:v>-8.2457033104529131E-47</c:v>
                </c:pt>
                <c:pt idx="38">
                  <c:v>-3.159179005370939E-48</c:v>
                </c:pt>
                <c:pt idx="39">
                  <c:v>-1.2093992646149995E-49</c:v>
                </c:pt>
                <c:pt idx="40">
                  <c:v>-4.6264084246422798E-51</c:v>
                </c:pt>
                <c:pt idx="41">
                  <c:v>-1.7685764259691175E-52</c:v>
                </c:pt>
                <c:pt idx="42">
                  <c:v>-6.7566802879480111E-54</c:v>
                </c:pt>
                <c:pt idx="43">
                  <c:v>-2.5798490088679843E-55</c:v>
                </c:pt>
                <c:pt idx="44">
                  <c:v>-9.8452374677533785E-57</c:v>
                </c:pt>
                <c:pt idx="45">
                  <c:v>-3.7553190414041127E-58</c:v>
                </c:pt>
                <c:pt idx="46">
                  <c:v>-1.4317669038608262E-59</c:v>
                </c:pt>
                <c:pt idx="47">
                  <c:v>-5.4565390626101031E-61</c:v>
                </c:pt>
                <c:pt idx="48">
                  <c:v>-2.0787152999445139E-62</c:v>
                </c:pt>
                <c:pt idx="49">
                  <c:v>-7.9162172984431725E-64</c:v>
                </c:pt>
                <c:pt idx="50">
                  <c:v>-3.0136753088557157E-65</c:v>
                </c:pt>
                <c:pt idx="51">
                  <c:v>-1.1469419537346036E-66</c:v>
                </c:pt>
                <c:pt idx="52">
                  <c:v>-4.3637711371310221E-68</c:v>
                </c:pt>
                <c:pt idx="53">
                  <c:v>-1.6598414195422073E-69</c:v>
                </c:pt>
                <c:pt idx="54">
                  <c:v>-6.3119449897916116E-71</c:v>
                </c:pt>
                <c:pt idx="55">
                  <c:v>-2.3997115062737065E-72</c:v>
                </c:pt>
                <c:pt idx="56">
                  <c:v>-9.1213845282456524E-74</c:v>
                </c:pt>
                <c:pt idx="57">
                  <c:v>-3.4663671875527442E-75</c:v>
                </c:pt>
                <c:pt idx="58">
                  <c:v>-1.3170617477632193E-76</c:v>
                </c:pt>
                <c:pt idx="59">
                  <c:v>-5.0033485111892483E-78</c:v>
                </c:pt>
                <c:pt idx="60">
                  <c:v>-1.9003925055642815E-79</c:v>
                </c:pt>
                <c:pt idx="61">
                  <c:v>-7.2170270481540882E-81</c:v>
                </c:pt>
                <c:pt idx="62">
                  <c:v>-2.7403752527827022E-82</c:v>
                </c:pt>
                <c:pt idx="63">
                  <c:v>-1.04040476927733E-83</c:v>
                </c:pt>
                <c:pt idx="64">
                  <c:v>-3.9494704281626529E-85</c:v>
                </c:pt>
                <c:pt idx="65">
                  <c:v>-1.4990738349998071E-86</c:v>
                </c:pt>
                <c:pt idx="66">
                  <c:v>-5.689288646753227E-88</c:v>
                </c:pt>
                <c:pt idx="67">
                  <c:v>-2.1589702037543606E-89</c:v>
                </c:pt>
                <c:pt idx="68">
                  <c:v>-8.1920353763799032E-91</c:v>
                </c:pt>
                <c:pt idx="69">
                  <c:v>-3.1081076608186848E-92</c:v>
                </c:pt>
                <c:pt idx="70">
                  <c:v>-1.1791301937905601E-93</c:v>
                </c:pt>
                <c:pt idx="71">
                  <c:v>-4.4729206397644319E-95</c:v>
                </c:pt>
                <c:pt idx="72">
                  <c:v>-1.6966273453444986E-96</c:v>
                </c:pt>
                <c:pt idx="73">
                  <c:v>-6.4350147804786827E-98</c:v>
                </c:pt>
                <c:pt idx="74">
                  <c:v>-2.4405196504828898E-99</c:v>
                </c:pt>
                <c:pt idx="75">
                  <c:v>-9.2552144501440048E-101</c:v>
                </c:pt>
                <c:pt idx="76">
                  <c:v>-3.5096492718610719E-102</c:v>
                </c:pt>
                <c:pt idx="77">
                  <c:v>-1.3308084371714921E-103</c:v>
                </c:pt>
                <c:pt idx="78">
                  <c:v>-5.0459554941671137E-105</c:v>
                </c:pt>
                <c:pt idx="79">
                  <c:v>-1.9131485453301074E-106</c:v>
                </c:pt>
                <c:pt idx="80">
                  <c:v>-7.2532501877607135E-108</c:v>
                </c:pt>
              </c:numCache>
            </c:numRef>
          </c:xVal>
          <c:yVal>
            <c:numRef>
              <c:f>'model 2'!$A$51:$A$131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ser>
          <c:idx val="1"/>
          <c:order val="2"/>
          <c:tx>
            <c:v>Diffusion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2'!$M$51:$M$131</c:f>
              <c:numCache>
                <c:formatCode>0.00</c:formatCode>
                <c:ptCount val="8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0.99999999999999933</c:v>
                </c:pt>
                <c:pt idx="5">
                  <c:v>0.99999999999946798</c:v>
                </c:pt>
                <c:pt idx="6">
                  <c:v>0.99999999995544453</c:v>
                </c:pt>
                <c:pt idx="7">
                  <c:v>0.99999999893516311</c:v>
                </c:pt>
                <c:pt idx="8">
                  <c:v>0.99999998839593229</c:v>
                </c:pt>
                <c:pt idx="9">
                  <c:v>0.99999992515897729</c:v>
                </c:pt>
                <c:pt idx="10">
                  <c:v>0.99999966587208866</c:v>
                </c:pt>
                <c:pt idx="11">
                  <c:v>0.9999988590051947</c:v>
                </c:pt>
                <c:pt idx="12">
                  <c:v>0.9999968143943252</c:v>
                </c:pt>
                <c:pt idx="13">
                  <c:v>0.9999923845037384</c:v>
                </c:pt>
                <c:pt idx="14">
                  <c:v>0.99998388800970117</c:v>
                </c:pt>
                <c:pt idx="15">
                  <c:v>0.99996909140621981</c:v>
                </c:pt>
                <c:pt idx="16">
                  <c:v>0.99994524813051355</c:v>
                </c:pt>
                <c:pt idx="17">
                  <c:v>0.99990918342588708</c:v>
                </c:pt>
                <c:pt idx="18">
                  <c:v>0.99985740824091796</c:v>
                </c:pt>
                <c:pt idx="19">
                  <c:v>0.9997862455338844</c:v>
                </c:pt>
                <c:pt idx="20">
                  <c:v>0.99969195529437238</c:v>
                </c:pt>
                <c:pt idx="21">
                  <c:v>0.99957084858678136</c:v>
                </c:pt>
                <c:pt idx="22">
                  <c:v>0.99941938480830572</c:v>
                </c:pt>
                <c:pt idx="23">
                  <c:v>0.99923424955757945</c:v>
                </c:pt>
                <c:pt idx="24">
                  <c:v>0.9990124128570621</c:v>
                </c:pt>
                <c:pt idx="25">
                  <c:v>0.99875116901191152</c:v>
                </c:pt>
                <c:pt idx="26">
                  <c:v>0.99844816026872474</c:v>
                </c:pt>
                <c:pt idx="27">
                  <c:v>0.99810138683003302</c:v>
                </c:pt>
                <c:pt idx="28">
                  <c:v>0.99770920584021194</c:v>
                </c:pt>
                <c:pt idx="29">
                  <c:v>0.99727032181069086</c:v>
                </c:pt>
                <c:pt idx="30">
                  <c:v>0.99678377068987301</c:v>
                </c:pt>
                <c:pt idx="31">
                  <c:v>0.9962488994707317</c:v>
                </c:pt>
                <c:pt idx="32">
                  <c:v>0.99566534290851361</c:v>
                </c:pt>
                <c:pt idx="33">
                  <c:v>0.99503299861767669</c:v>
                </c:pt>
                <c:pt idx="34">
                  <c:v>0.99435200154479286</c:v>
                </c:pt>
                <c:pt idx="35">
                  <c:v>0.99362269857831187</c:v>
                </c:pt>
                <c:pt idx="36">
                  <c:v>0.99284562385771569</c:v>
                </c:pt>
                <c:pt idx="37">
                  <c:v>0.99202147518166894</c:v>
                </c:pt>
                <c:pt idx="38">
                  <c:v>0.99115109178365501</c:v>
                </c:pt>
                <c:pt idx="39">
                  <c:v>0.99023543364022037</c:v>
                </c:pt>
                <c:pt idx="40">
                  <c:v>0.98927556239693981</c:v>
                </c:pt>
                <c:pt idx="41">
                  <c:v>0.98827262393669701</c:v>
                </c:pt>
                <c:pt idx="42">
                  <c:v>0.98722783257012003</c:v>
                </c:pt>
                <c:pt idx="43">
                  <c:v>0.98614245679599954</c:v>
                </c:pt>
                <c:pt idx="44">
                  <c:v>0.9850178065574795</c:v>
                </c:pt>
                <c:pt idx="45">
                  <c:v>0.98385522190563135</c:v>
                </c:pt>
                <c:pt idx="46">
                  <c:v>0.98265606297379837</c:v>
                </c:pt>
                <c:pt idx="47">
                  <c:v>0.98142170116241845</c:v>
                </c:pt>
                <c:pt idx="48">
                  <c:v>0.98015351143369234</c:v>
                </c:pt>
                <c:pt idx="49">
                  <c:v>0.97885286561751572</c:v>
                </c:pt>
                <c:pt idx="50">
                  <c:v>0.97752112663387436</c:v>
                </c:pt>
                <c:pt idx="51">
                  <c:v>0.97615964354174367</c:v>
                </c:pt>
                <c:pt idx="52">
                  <c:v>0.97476974733011845</c:v>
                </c:pt>
                <c:pt idx="53">
                  <c:v>0.97335274737271948</c:v>
                </c:pt>
                <c:pt idx="54">
                  <c:v>0.97190992847396984</c:v>
                </c:pt>
                <c:pt idx="55">
                  <c:v>0.97044254843984823</c:v>
                </c:pt>
                <c:pt idx="56">
                  <c:v>0.96895183611303581</c:v>
                </c:pt>
                <c:pt idx="57">
                  <c:v>0.96743898981737564</c:v>
                </c:pt>
                <c:pt idx="58">
                  <c:v>0.96590517616187865</c:v>
                </c:pt>
                <c:pt idx="59">
                  <c:v>0.96435152915947464</c:v>
                </c:pt>
                <c:pt idx="60">
                  <c:v>0.96277914962022759</c:v>
                </c:pt>
                <c:pt idx="61">
                  <c:v>0.96118910478295527</c:v>
                </c:pt>
                <c:pt idx="62">
                  <c:v>0.95958242815304295</c:v>
                </c:pt>
                <c:pt idx="63">
                  <c:v>0.95796011951773052</c:v>
                </c:pt>
                <c:pt idx="64">
                  <c:v>0.95632314511337357</c:v>
                </c:pt>
                <c:pt idx="65">
                  <c:v>0.95467243792202794</c:v>
                </c:pt>
                <c:pt idx="66">
                  <c:v>0.95300889807733569</c:v>
                </c:pt>
                <c:pt idx="67">
                  <c:v>0.95133339336202449</c:v>
                </c:pt>
                <c:pt idx="68">
                  <c:v>0.94964675978142732</c:v>
                </c:pt>
                <c:pt idx="69">
                  <c:v>0.94794980219933311</c:v>
                </c:pt>
                <c:pt idx="70">
                  <c:v>0.94624329502414062</c:v>
                </c:pt>
                <c:pt idx="71">
                  <c:v>0.94452798293480411</c:v>
                </c:pt>
                <c:pt idx="72">
                  <c:v>0.94280458163739733</c:v>
                </c:pt>
                <c:pt idx="73">
                  <c:v>0.94107377864430752</c:v>
                </c:pt>
                <c:pt idx="74">
                  <c:v>0.93933623406913247</c:v>
                </c:pt>
                <c:pt idx="75">
                  <c:v>0.9375925814312942</c:v>
                </c:pt>
                <c:pt idx="76">
                  <c:v>0.9358434284652053</c:v>
                </c:pt>
                <c:pt idx="77">
                  <c:v>0.93408935792956704</c:v>
                </c:pt>
                <c:pt idx="78">
                  <c:v>0.93233092841302256</c:v>
                </c:pt>
                <c:pt idx="79">
                  <c:v>0.93056867513295582</c:v>
                </c:pt>
                <c:pt idx="80">
                  <c:v>0.9288031107247483</c:v>
                </c:pt>
              </c:numCache>
            </c:numRef>
          </c:xVal>
          <c:yVal>
            <c:numRef>
              <c:f>'model 2'!$A$51:$A$131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ser>
          <c:idx val="2"/>
          <c:order val="3"/>
          <c:tx>
            <c:v>1st order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xVal>
            <c:numRef>
              <c:f>'model 2'!$N$51:$N$131</c:f>
              <c:numCache>
                <c:formatCode>0.00</c:formatCode>
                <c:ptCount val="81"/>
                <c:pt idx="0">
                  <c:v>1</c:v>
                </c:pt>
                <c:pt idx="1">
                  <c:v>0.71434874322441289</c:v>
                </c:pt>
                <c:pt idx="2">
                  <c:v>0.51029412694629817</c:v>
                </c:pt>
                <c:pt idx="3">
                  <c:v>0.36452796825888717</c:v>
                </c:pt>
                <c:pt idx="4">
                  <c:v>0.26040009599588471</c:v>
                </c:pt>
                <c:pt idx="5">
                  <c:v>0.18601648131017673</c:v>
                </c:pt>
                <c:pt idx="6">
                  <c:v>0.13288063964295224</c:v>
                </c:pt>
                <c:pt idx="7">
                  <c:v>9.4923117927799006E-2</c:v>
                </c:pt>
                <c:pt idx="8">
                  <c:v>6.7808209994665969E-2</c:v>
                </c:pt>
                <c:pt idx="9">
                  <c:v>4.8438709589986723E-2</c:v>
                </c:pt>
                <c:pt idx="10">
                  <c:v>3.4602131319019326E-2</c:v>
                </c:pt>
                <c:pt idx="11">
                  <c:v>2.4717989020627548E-2</c:v>
                </c:pt>
                <c:pt idx="12">
                  <c:v>1.7657264391920131E-2</c:v>
                </c:pt>
                <c:pt idx="13">
                  <c:v>1.2613444627149325E-2</c:v>
                </c:pt>
                <c:pt idx="14">
                  <c:v>9.0103983171348368E-3</c:v>
                </c:pt>
                <c:pt idx="15">
                  <c:v>6.4365667137966376E-3</c:v>
                </c:pt>
                <c:pt idx="16">
                  <c:v>4.5979533426807181E-3</c:v>
                </c:pt>
                <c:pt idx="17">
                  <c:v>3.2845421917484605E-3</c:v>
                </c:pt>
                <c:pt idx="18">
                  <c:v>2.3463085867430717E-3</c:v>
                </c:pt>
                <c:pt idx="19">
                  <c:v>1.6760825901565607E-3</c:v>
                </c:pt>
                <c:pt idx="20">
                  <c:v>1.1973074918186582E-3</c:v>
                </c:pt>
                <c:pt idx="21">
                  <c:v>8.5529510203383261E-4</c:v>
                </c:pt>
                <c:pt idx="22">
                  <c:v>6.1097898122386396E-4</c:v>
                </c:pt>
                <c:pt idx="23">
                  <c:v>4.3645206737379951E-4</c:v>
                </c:pt>
                <c:pt idx="24">
                  <c:v>3.117789858061705E-4</c:v>
                </c:pt>
                <c:pt idx="25">
                  <c:v>2.2271892667441985E-4</c:v>
                </c:pt>
                <c:pt idx="26">
                  <c:v>1.5909898536216216E-4</c:v>
                </c:pt>
                <c:pt idx="27">
                  <c:v>1.1365216024173973E-4</c:v>
                </c:pt>
                <c:pt idx="28">
                  <c:v>8.1187277833426303E-5</c:v>
                </c:pt>
                <c:pt idx="29">
                  <c:v>5.7996029886119389E-5</c:v>
                </c:pt>
                <c:pt idx="30">
                  <c:v>4.1429391061154846E-5</c:v>
                </c:pt>
                <c:pt idx="31">
                  <c:v>2.9595033437088724E-5</c:v>
                </c:pt>
                <c:pt idx="32">
                  <c:v>2.1141174941468792E-5</c:v>
                </c:pt>
                <c:pt idx="33">
                  <c:v>1.5102171749725673E-5</c:v>
                </c:pt>
                <c:pt idx="34">
                  <c:v>1.078821740937578E-5</c:v>
                </c:pt>
                <c:pt idx="35">
                  <c:v>7.7065495480193145E-6</c:v>
                </c:pt>
                <c:pt idx="36">
                  <c:v>5.5051639842242707E-6</c:v>
                </c:pt>
                <c:pt idx="37">
                  <c:v>3.932606973374907E-6</c:v>
                </c:pt>
                <c:pt idx="38">
                  <c:v>2.809252849025925E-6</c:v>
                </c:pt>
                <c:pt idx="39">
                  <c:v>2.0067862421012732E-6</c:v>
                </c:pt>
                <c:pt idx="40">
                  <c:v>1.433545229965086E-6</c:v>
                </c:pt>
                <c:pt idx="41">
                  <c:v>1.0240512333809106E-6</c:v>
                </c:pt>
                <c:pt idx="42">
                  <c:v>7.315297115630642E-7</c:v>
                </c:pt>
                <c:pt idx="43">
                  <c:v>5.225673300863918E-7</c:v>
                </c:pt>
                <c:pt idx="44">
                  <c:v>3.7329531549735068E-7</c:v>
                </c:pt>
                <c:pt idx="45">
                  <c:v>2.6666303947709347E-7</c:v>
                </c:pt>
                <c:pt idx="46">
                  <c:v>1.904904071148636E-7</c:v>
                </c:pt>
                <c:pt idx="47">
                  <c:v>1.3607658291880973E-7</c:v>
                </c:pt>
                <c:pt idx="48">
                  <c:v>9.7206135990324284E-8</c:v>
                </c:pt>
                <c:pt idx="49">
                  <c:v>6.9439081078389597E-8</c:v>
                </c:pt>
                <c:pt idx="50">
                  <c:v>4.9603720299005597E-8</c:v>
                </c:pt>
                <c:pt idx="51">
                  <c:v>3.5434355254849988E-8</c:v>
                </c:pt>
                <c:pt idx="52">
                  <c:v>2.531248714326949E-8</c:v>
                </c:pt>
                <c:pt idx="53">
                  <c:v>1.8081943378678627E-8</c:v>
                </c:pt>
                <c:pt idx="54">
                  <c:v>1.2916813527614086E-8</c:v>
                </c:pt>
                <c:pt idx="55">
                  <c:v>9.2271095099152277E-9</c:v>
                </c:pt>
                <c:pt idx="56">
                  <c:v>6.5913740820019547E-9</c:v>
                </c:pt>
                <c:pt idx="57">
                  <c:v>4.7085397916000701E-9</c:v>
                </c:pt>
                <c:pt idx="58">
                  <c:v>3.3635394825516527E-9</c:v>
                </c:pt>
                <c:pt idx="59">
                  <c:v>2.4027402021464679E-9</c:v>
                </c:pt>
                <c:pt idx="60">
                  <c:v>1.7163944436980971E-9</c:v>
                </c:pt>
                <c:pt idx="61">
                  <c:v>1.2261042137331024E-9</c:v>
                </c:pt>
                <c:pt idx="62">
                  <c:v>8.758660041423996E-10</c:v>
                </c:pt>
                <c:pt idx="63">
                  <c:v>6.2567377929211006E-10</c:v>
                </c:pt>
                <c:pt idx="64">
                  <c:v>4.4694927790578801E-10</c:v>
                </c:pt>
                <c:pt idx="65">
                  <c:v>3.1927765495705889E-10</c:v>
                </c:pt>
                <c:pt idx="66">
                  <c:v>2.2807559155821221E-10</c:v>
                </c:pt>
                <c:pt idx="67">
                  <c:v>1.6292551218977358E-10</c:v>
                </c:pt>
                <c:pt idx="68">
                  <c:v>1.1638563487195866E-10</c:v>
                </c:pt>
                <c:pt idx="69">
                  <c:v>8.3139932000158867E-11</c:v>
                </c:pt>
                <c:pt idx="70">
                  <c:v>5.9390905936076704E-11</c:v>
                </c:pt>
                <c:pt idx="71">
                  <c:v>4.2425819014395766E-11</c:v>
                </c:pt>
                <c:pt idx="72">
                  <c:v>3.0306830493200051E-11</c:v>
                </c:pt>
                <c:pt idx="73">
                  <c:v>2.1649646273932715E-11</c:v>
                </c:pt>
                <c:pt idx="74">
                  <c:v>1.5465397607036947E-11</c:v>
                </c:pt>
                <c:pt idx="75">
                  <c:v>1.1047687344052698E-11</c:v>
                </c:pt>
                <c:pt idx="76">
                  <c:v>7.8919015697602773E-12</c:v>
                </c:pt>
                <c:pt idx="77">
                  <c:v>5.6375699680090319E-12</c:v>
                </c:pt>
                <c:pt idx="78">
                  <c:v>4.0271910214869503E-12</c:v>
                </c:pt>
                <c:pt idx="79">
                  <c:v>2.8768188449238357E-12</c:v>
                </c:pt>
                <c:pt idx="80">
                  <c:v>2.0550519263556514E-12</c:v>
                </c:pt>
              </c:numCache>
            </c:numRef>
          </c:xVal>
          <c:yVal>
            <c:numRef>
              <c:f>'model 2'!$A$51:$A$131</c:f>
              <c:numCache>
                <c:formatCode>General</c:formatCode>
                <c:ptCount val="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</c:numCache>
            </c:numRef>
          </c:yVal>
          <c:smooth val="1"/>
        </c:ser>
        <c:axId val="108108032"/>
        <c:axId val="108118400"/>
      </c:scatterChart>
      <c:valAx>
        <c:axId val="108108032"/>
        <c:scaling>
          <c:orientation val="minMax"/>
          <c:min val="0"/>
        </c:scaling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(mg/L)</a:t>
                </a:r>
              </a:p>
            </c:rich>
          </c:tx>
          <c:layout>
            <c:manualLayout>
              <c:xMode val="edge"/>
              <c:yMode val="edge"/>
              <c:x val="0.32678132678132676"/>
              <c:y val="3.7558685446009404E-2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8118400"/>
        <c:crosses val="autoZero"/>
        <c:crossBetween val="midCat"/>
      </c:valAx>
      <c:valAx>
        <c:axId val="108118400"/>
        <c:scaling>
          <c:orientation val="maxMin"/>
          <c:min val="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depth(m)</a:t>
                </a:r>
              </a:p>
            </c:rich>
          </c:tx>
          <c:layout>
            <c:manualLayout>
              <c:xMode val="edge"/>
              <c:yMode val="edge"/>
              <c:x val="2.2172382196360998E-2"/>
              <c:y val="0.47887427565243912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8108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782278296108964"/>
          <c:y val="0.34507125908153624"/>
          <c:w val="0.19589984777961142"/>
          <c:h val="0.314554729954531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122" r="0.750000000000001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185738</xdr:colOff>
      <xdr:row>7</xdr:row>
      <xdr:rowOff>19844</xdr:rowOff>
    </xdr:from>
    <xdr:to>
      <xdr:col>15</xdr:col>
      <xdr:colOff>672353</xdr:colOff>
      <xdr:row>28</xdr:row>
      <xdr:rowOff>76995</xdr:rowOff>
    </xdr:to>
    <xdr:graphicFrame macro="">
      <xdr:nvGraphicFramePr>
        <xdr:cNvPr id="30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7539</xdr:colOff>
      <xdr:row>7</xdr:row>
      <xdr:rowOff>49609</xdr:rowOff>
    </xdr:from>
    <xdr:to>
      <xdr:col>9</xdr:col>
      <xdr:colOff>615155</xdr:colOff>
      <xdr:row>28</xdr:row>
      <xdr:rowOff>89296</xdr:rowOff>
    </xdr:to>
    <xdr:graphicFrame macro="">
      <xdr:nvGraphicFramePr>
        <xdr:cNvPr id="307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190500</xdr:colOff>
      <xdr:row>0</xdr:row>
      <xdr:rowOff>0</xdr:rowOff>
    </xdr:from>
    <xdr:to>
      <xdr:col>7</xdr:col>
      <xdr:colOff>200024</xdr:colOff>
      <xdr:row>5</xdr:row>
      <xdr:rowOff>200025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62550" y="0"/>
          <a:ext cx="1466850" cy="1343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23</xdr:col>
      <xdr:colOff>21317</xdr:colOff>
      <xdr:row>7</xdr:row>
      <xdr:rowOff>123264</xdr:rowOff>
    </xdr:from>
    <xdr:to>
      <xdr:col>29</xdr:col>
      <xdr:colOff>392206</xdr:colOff>
      <xdr:row>28</xdr:row>
      <xdr:rowOff>180414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17</xdr:col>
      <xdr:colOff>22412</xdr:colOff>
      <xdr:row>7</xdr:row>
      <xdr:rowOff>108205</xdr:rowOff>
    </xdr:from>
    <xdr:to>
      <xdr:col>22</xdr:col>
      <xdr:colOff>403412</xdr:colOff>
      <xdr:row>28</xdr:row>
      <xdr:rowOff>147892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144462</xdr:colOff>
      <xdr:row>7</xdr:row>
      <xdr:rowOff>9922</xdr:rowOff>
    </xdr:from>
    <xdr:to>
      <xdr:col>15</xdr:col>
      <xdr:colOff>616323</xdr:colOff>
      <xdr:row>27</xdr:row>
      <xdr:rowOff>67073</xdr:rowOff>
    </xdr:to>
    <xdr:graphicFrame macro="">
      <xdr:nvGraphicFramePr>
        <xdr:cNvPr id="10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1588</xdr:colOff>
      <xdr:row>7</xdr:row>
      <xdr:rowOff>1</xdr:rowOff>
    </xdr:from>
    <xdr:to>
      <xdr:col>10</xdr:col>
      <xdr:colOff>9525</xdr:colOff>
      <xdr:row>27</xdr:row>
      <xdr:rowOff>66676</xdr:rowOff>
    </xdr:to>
    <xdr:graphicFrame macro="">
      <xdr:nvGraphicFramePr>
        <xdr:cNvPr id="10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763984</xdr:colOff>
      <xdr:row>0</xdr:row>
      <xdr:rowOff>19844</xdr:rowOff>
    </xdr:from>
    <xdr:to>
      <xdr:col>5</xdr:col>
      <xdr:colOff>508396</xdr:colOff>
      <xdr:row>5</xdr:row>
      <xdr:rowOff>194071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97734" y="19844"/>
          <a:ext cx="1411287" cy="13152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23</xdr:col>
      <xdr:colOff>120463</xdr:colOff>
      <xdr:row>7</xdr:row>
      <xdr:rowOff>43539</xdr:rowOff>
    </xdr:from>
    <xdr:to>
      <xdr:col>29</xdr:col>
      <xdr:colOff>56031</xdr:colOff>
      <xdr:row>27</xdr:row>
      <xdr:rowOff>100689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16</xdr:col>
      <xdr:colOff>437028</xdr:colOff>
      <xdr:row>7</xdr:row>
      <xdr:rowOff>44823</xdr:rowOff>
    </xdr:from>
    <xdr:to>
      <xdr:col>23</xdr:col>
      <xdr:colOff>22411</xdr:colOff>
      <xdr:row>27</xdr:row>
      <xdr:rowOff>111498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7</xdr:row>
      <xdr:rowOff>28575</xdr:rowOff>
    </xdr:from>
    <xdr:to>
      <xdr:col>14</xdr:col>
      <xdr:colOff>60511</xdr:colOff>
      <xdr:row>27</xdr:row>
      <xdr:rowOff>85725</xdr:rowOff>
    </xdr:to>
    <xdr:graphicFrame macro="">
      <xdr:nvGraphicFramePr>
        <xdr:cNvPr id="20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9525</xdr:colOff>
      <xdr:row>7</xdr:row>
      <xdr:rowOff>28575</xdr:rowOff>
    </xdr:from>
    <xdr:to>
      <xdr:col>9</xdr:col>
      <xdr:colOff>600075</xdr:colOff>
      <xdr:row>27</xdr:row>
      <xdr:rowOff>95250</xdr:rowOff>
    </xdr:to>
    <xdr:graphicFrame macro="">
      <xdr:nvGraphicFramePr>
        <xdr:cNvPr id="20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619125</xdr:colOff>
      <xdr:row>0</xdr:row>
      <xdr:rowOff>0</xdr:rowOff>
    </xdr:from>
    <xdr:to>
      <xdr:col>5</xdr:col>
      <xdr:colOff>262617</xdr:colOff>
      <xdr:row>5</xdr:row>
      <xdr:rowOff>190500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125" b="9375"/>
        <a:stretch>
          <a:fillRect/>
        </a:stretch>
      </xdr:blipFill>
      <xdr:spPr bwMode="auto">
        <a:xfrm>
          <a:off x="3895725" y="0"/>
          <a:ext cx="1495425" cy="1333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17369</xdr:colOff>
      <xdr:row>7</xdr:row>
      <xdr:rowOff>56031</xdr:rowOff>
    </xdr:from>
    <xdr:to>
      <xdr:col>26</xdr:col>
      <xdr:colOff>190500</xdr:colOff>
      <xdr:row>27</xdr:row>
      <xdr:rowOff>113181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33619</xdr:colOff>
      <xdr:row>7</xdr:row>
      <xdr:rowOff>44824</xdr:rowOff>
    </xdr:from>
    <xdr:to>
      <xdr:col>20</xdr:col>
      <xdr:colOff>437029</xdr:colOff>
      <xdr:row>27</xdr:row>
      <xdr:rowOff>111499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130"/>
  <sheetViews>
    <sheetView zoomScale="70" zoomScaleNormal="70" workbookViewId="0">
      <selection activeCell="D27" sqref="D27"/>
    </sheetView>
  </sheetViews>
  <sheetFormatPr defaultColWidth="9.109375" defaultRowHeight="13.2"/>
  <cols>
    <col min="1" max="1" width="28.33203125" style="33" bestFit="1" customWidth="1"/>
    <col min="2" max="2" width="15.44140625" style="33" customWidth="1"/>
    <col min="3" max="3" width="9.44140625" style="33" bestFit="1" customWidth="1"/>
    <col min="4" max="4" width="17.44140625" style="33" customWidth="1"/>
    <col min="5" max="5" width="15.6640625" style="33" bestFit="1" customWidth="1"/>
    <col min="6" max="6" width="12.5546875" style="33" bestFit="1" customWidth="1"/>
    <col min="7" max="11" width="9.33203125" style="33" bestFit="1" customWidth="1"/>
    <col min="12" max="12" width="11.88671875" style="33" bestFit="1" customWidth="1"/>
    <col min="13" max="13" width="7.6640625" style="33" bestFit="1" customWidth="1"/>
    <col min="14" max="14" width="14.88671875" style="33" bestFit="1" customWidth="1"/>
    <col min="15" max="15" width="7.5546875" style="33" customWidth="1"/>
    <col min="16" max="17" width="17.109375" style="33" bestFit="1" customWidth="1"/>
    <col min="18" max="18" width="10.33203125" style="33" customWidth="1"/>
    <col min="19" max="19" width="12.6640625" style="33" customWidth="1"/>
    <col min="20" max="20" width="16.5546875" style="33" customWidth="1"/>
    <col min="21" max="16384" width="9.109375" style="33"/>
  </cols>
  <sheetData>
    <row r="1" spans="1:29" ht="17.399999999999999">
      <c r="A1" s="93" t="str">
        <f>CONCATENATE("Model 1a - Pulse source above fractured media during ",C19," years")</f>
        <v>Model 1a - Pulse source above fractured media during 10 years</v>
      </c>
      <c r="B1" s="32"/>
      <c r="C1" s="32"/>
      <c r="D1" s="32"/>
    </row>
    <row r="2" spans="1:29" ht="17.399999999999999">
      <c r="A2" s="34" t="s">
        <v>77</v>
      </c>
      <c r="B2" s="35"/>
      <c r="C2" s="35"/>
      <c r="D2" s="32"/>
    </row>
    <row r="3" spans="1:29" ht="17.399999999999999">
      <c r="A3" s="36" t="s">
        <v>70</v>
      </c>
      <c r="B3" s="36"/>
      <c r="C3" s="37" t="s">
        <v>66</v>
      </c>
      <c r="D3" s="32"/>
    </row>
    <row r="4" spans="1:29" ht="17.399999999999999">
      <c r="A4" s="94" t="str">
        <f>IF(C3="yes","","Advection in low-permeability media (yes/no)")</f>
        <v/>
      </c>
      <c r="B4" s="36"/>
      <c r="C4" s="38"/>
      <c r="D4" s="32"/>
    </row>
    <row r="5" spans="1:29" ht="17.399999999999999">
      <c r="A5" s="32"/>
      <c r="B5" s="32"/>
      <c r="C5" s="32"/>
      <c r="D5" s="32"/>
      <c r="E5" s="112" t="s">
        <v>62</v>
      </c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R5" s="112" t="s">
        <v>63</v>
      </c>
      <c r="S5" s="112"/>
      <c r="T5" s="112"/>
      <c r="U5" s="112"/>
      <c r="V5" s="112"/>
      <c r="W5" s="112"/>
      <c r="X5" s="112"/>
      <c r="Y5" s="112"/>
      <c r="Z5" s="112"/>
      <c r="AA5" s="112"/>
      <c r="AB5" s="112"/>
    </row>
    <row r="6" spans="1:29" ht="17.399999999999999">
      <c r="A6" s="32"/>
      <c r="B6" s="32"/>
      <c r="C6" s="32"/>
      <c r="D6" s="32"/>
    </row>
    <row r="7" spans="1:29" ht="15.6">
      <c r="A7" s="34" t="s">
        <v>4</v>
      </c>
      <c r="B7" s="35"/>
      <c r="C7" s="35"/>
      <c r="E7" s="111" t="str">
        <f>CONCATENATE("Concentration in low-permeability media at depth ",$C$45," meters")</f>
        <v>Concentration in low-permeability media at depth  meters</v>
      </c>
      <c r="F7" s="111"/>
      <c r="G7" s="111"/>
      <c r="H7" s="111"/>
      <c r="I7" s="111"/>
      <c r="J7" s="111"/>
      <c r="K7" s="111" t="str">
        <f>CONCATENATE("Concentration in low-permeability media at time ",$B$50," years")</f>
        <v>Concentration in low-permeability media at time 20 years</v>
      </c>
      <c r="L7" s="111"/>
      <c r="M7" s="111"/>
      <c r="N7" s="111"/>
      <c r="O7" s="111"/>
      <c r="P7" s="111"/>
      <c r="Q7" s="39"/>
      <c r="R7" s="111" t="str">
        <f>CONCATENATE("Concentration in low-permeability media at depth ",$C$45," meters")</f>
        <v>Concentration in low-permeability media at depth  meters</v>
      </c>
      <c r="S7" s="111"/>
      <c r="T7" s="111"/>
      <c r="U7" s="111"/>
      <c r="V7" s="111"/>
      <c r="W7" s="111"/>
      <c r="X7" s="111" t="str">
        <f>CONCATENATE("Concentration in low-permeability media at time ",$B$50," years")</f>
        <v>Concentration in low-permeability media at time 20 years</v>
      </c>
      <c r="Y7" s="111"/>
      <c r="Z7" s="111"/>
      <c r="AA7" s="111"/>
      <c r="AB7" s="111"/>
      <c r="AC7" s="111"/>
    </row>
    <row r="8" spans="1:29" s="41" customFormat="1" ht="15.75" customHeight="1">
      <c r="A8" s="34" t="s">
        <v>74</v>
      </c>
      <c r="B8" s="35"/>
      <c r="C8" s="35"/>
      <c r="D8" s="40"/>
    </row>
    <row r="9" spans="1:29" s="41" customFormat="1" ht="15.75" customHeight="1">
      <c r="A9" s="36" t="s">
        <v>13</v>
      </c>
      <c r="B9" s="42" t="s">
        <v>35</v>
      </c>
      <c r="C9" s="43">
        <v>1</v>
      </c>
      <c r="D9" s="40"/>
    </row>
    <row r="10" spans="1:29" s="41" customFormat="1" ht="15.75" customHeight="1">
      <c r="A10" s="36" t="s">
        <v>16</v>
      </c>
      <c r="B10" s="44" t="s">
        <v>3</v>
      </c>
      <c r="C10" s="43">
        <v>0.3</v>
      </c>
      <c r="D10" s="40"/>
    </row>
    <row r="11" spans="1:29" s="41" customFormat="1" ht="15.75" customHeight="1">
      <c r="A11" s="36" t="s">
        <v>17</v>
      </c>
      <c r="B11" s="42" t="s">
        <v>43</v>
      </c>
      <c r="C11" s="43">
        <v>6.0000000000000001E-3</v>
      </c>
      <c r="D11" s="40"/>
    </row>
    <row r="12" spans="1:29" s="41" customFormat="1" ht="15.75" customHeight="1">
      <c r="A12" s="36" t="s">
        <v>18</v>
      </c>
      <c r="B12" s="44" t="s">
        <v>39</v>
      </c>
      <c r="C12" s="43">
        <v>0</v>
      </c>
      <c r="D12" s="40"/>
    </row>
    <row r="13" spans="1:29" s="41" customFormat="1" ht="15.75" customHeight="1">
      <c r="A13" s="36" t="s">
        <v>19</v>
      </c>
      <c r="B13" s="42" t="s">
        <v>41</v>
      </c>
      <c r="C13" s="45">
        <v>1</v>
      </c>
      <c r="D13" s="40"/>
    </row>
    <row r="14" spans="1:29" s="41" customFormat="1" ht="15.75" customHeight="1">
      <c r="A14" s="36" t="s">
        <v>0</v>
      </c>
      <c r="B14" s="42" t="s">
        <v>40</v>
      </c>
      <c r="C14" s="43">
        <v>1</v>
      </c>
      <c r="D14" s="40"/>
    </row>
    <row r="15" spans="1:29" s="41" customFormat="1" ht="15.75" customHeight="1">
      <c r="A15" s="36" t="s">
        <v>14</v>
      </c>
      <c r="B15" s="42" t="s">
        <v>37</v>
      </c>
      <c r="C15" s="72">
        <f>IF($C$3="yes",C24,"")</f>
        <v>1.9959141867817959E-5</v>
      </c>
      <c r="D15" s="40"/>
    </row>
    <row r="16" spans="1:29" s="41" customFormat="1" ht="15.75" customHeight="1">
      <c r="A16" s="36" t="s">
        <v>20</v>
      </c>
      <c r="B16" s="42" t="s">
        <v>34</v>
      </c>
      <c r="C16" s="73">
        <f>IF($C$3="yes",C15^2*1000*9.81/(12*0.0013)*C27*3600*24*365,"")</f>
        <v>1580.0278493359747</v>
      </c>
      <c r="D16" s="40"/>
    </row>
    <row r="17" spans="1:6" s="41" customFormat="1" ht="15.75" customHeight="1">
      <c r="A17" s="36" t="s">
        <v>45</v>
      </c>
      <c r="B17" s="42" t="s">
        <v>46</v>
      </c>
      <c r="C17" s="74">
        <f>IF(C4="no","",C25*C27*3600*24*365/C10)</f>
        <v>0.10512000000000001</v>
      </c>
      <c r="D17" s="40"/>
    </row>
    <row r="18" spans="1:6" s="41" customFormat="1" ht="15.75" customHeight="1">
      <c r="A18" s="36" t="s">
        <v>68</v>
      </c>
      <c r="B18" s="42" t="s">
        <v>69</v>
      </c>
      <c r="C18" s="31">
        <v>0.1</v>
      </c>
      <c r="D18" s="47"/>
    </row>
    <row r="19" spans="1:6" s="41" customFormat="1" ht="15.75" customHeight="1">
      <c r="A19" s="36" t="s">
        <v>32</v>
      </c>
      <c r="B19" s="42" t="s">
        <v>42</v>
      </c>
      <c r="C19" s="91">
        <v>10</v>
      </c>
      <c r="D19" s="47"/>
    </row>
    <row r="20" spans="1:6" s="41" customFormat="1" ht="15.75" customHeight="1">
      <c r="D20" s="47"/>
    </row>
    <row r="21" spans="1:6" s="41" customFormat="1" ht="15.75" customHeight="1">
      <c r="A21" s="34" t="s">
        <v>72</v>
      </c>
      <c r="B21" s="35"/>
      <c r="C21" s="35"/>
      <c r="D21" s="47"/>
    </row>
    <row r="22" spans="1:6" s="41" customFormat="1" ht="15.75" customHeight="1">
      <c r="A22" s="48" t="s">
        <v>79</v>
      </c>
      <c r="B22" s="35"/>
      <c r="C22" s="35"/>
      <c r="D22" s="47"/>
    </row>
    <row r="23" spans="1:6" s="41" customFormat="1" ht="15.75" customHeight="1">
      <c r="A23" s="36" t="s">
        <v>15</v>
      </c>
      <c r="B23" s="42" t="s">
        <v>38</v>
      </c>
      <c r="C23" s="75">
        <f>IF(C3="yes",C30,"")</f>
        <v>1</v>
      </c>
      <c r="D23" s="47"/>
    </row>
    <row r="24" spans="1:6" s="41" customFormat="1" ht="15.75" customHeight="1">
      <c r="A24" s="36" t="s">
        <v>14</v>
      </c>
      <c r="B24" s="42" t="s">
        <v>37</v>
      </c>
      <c r="C24" s="76">
        <f>IF(C3="yes",IF(ISBLANK(C31)=FALSE,C31,(C32*12*0.0013*C30/(1000*9.81))^(1/3)),"")</f>
        <v>1.9959141867817959E-5</v>
      </c>
      <c r="D24" s="40"/>
    </row>
    <row r="25" spans="1:6" s="41" customFormat="1" ht="15.75" customHeight="1">
      <c r="A25" s="36" t="s">
        <v>22</v>
      </c>
      <c r="B25" s="42" t="s">
        <v>48</v>
      </c>
      <c r="C25" s="77">
        <f>IF($C$4="no","",IF(ISBLANK(C32)=FALSE,C32,1000*9.81*C24^(3)/(12*0.0013*C23)))</f>
        <v>5.0000000000000001E-9</v>
      </c>
      <c r="D25" s="40"/>
    </row>
    <row r="26" spans="1:6" s="41" customFormat="1" ht="15.75" customHeight="1">
      <c r="A26" s="36" t="s">
        <v>2</v>
      </c>
      <c r="B26" s="42" t="s">
        <v>36</v>
      </c>
      <c r="C26" s="78">
        <f>IF($C$4="no","",IF(ISBLANK(C33)=FALSE,C33,C25*C34*3600*24*365*1000))</f>
        <v>31.536000000000001</v>
      </c>
      <c r="D26" s="40"/>
    </row>
    <row r="27" spans="1:6" s="41" customFormat="1" ht="15.75" customHeight="1">
      <c r="A27" s="36" t="s">
        <v>23</v>
      </c>
      <c r="B27" s="42" t="s">
        <v>47</v>
      </c>
      <c r="C27" s="74">
        <f>IF($C$4="no","",IF(ISBLANK(C34)=FALSE,C34,C26/1000/3600/24/365/C25))</f>
        <v>0.2</v>
      </c>
      <c r="D27" s="40"/>
    </row>
    <row r="28" spans="1:6" s="41" customFormat="1" ht="15.75" customHeight="1">
      <c r="D28" s="47"/>
    </row>
    <row r="29" spans="1:6" s="41" customFormat="1" ht="15.75" customHeight="1">
      <c r="A29" s="34" t="s">
        <v>73</v>
      </c>
      <c r="B29" s="35"/>
      <c r="C29" s="35"/>
      <c r="D29" s="40"/>
    </row>
    <row r="30" spans="1:6" s="41" customFormat="1" ht="15.75" customHeight="1">
      <c r="A30" s="36" t="s">
        <v>15</v>
      </c>
      <c r="B30" s="42" t="s">
        <v>38</v>
      </c>
      <c r="C30" s="45">
        <v>1</v>
      </c>
      <c r="D30" s="40"/>
    </row>
    <row r="31" spans="1:6" s="41" customFormat="1" ht="15.75" customHeight="1">
      <c r="A31" s="36" t="s">
        <v>14</v>
      </c>
      <c r="B31" s="42" t="s">
        <v>37</v>
      </c>
      <c r="C31" s="49"/>
      <c r="D31" s="109" t="s">
        <v>78</v>
      </c>
      <c r="E31" s="79" t="b">
        <f>ISBLANK(C31)</f>
        <v>1</v>
      </c>
      <c r="F31" s="85"/>
    </row>
    <row r="32" spans="1:6" s="41" customFormat="1" ht="15.75" customHeight="1">
      <c r="A32" s="36" t="s">
        <v>22</v>
      </c>
      <c r="B32" s="42" t="s">
        <v>48</v>
      </c>
      <c r="C32" s="49">
        <v>5.0000000000000001E-9</v>
      </c>
      <c r="D32" s="109"/>
      <c r="E32" s="79" t="b">
        <f>ISBLANK(C32)</f>
        <v>0</v>
      </c>
    </row>
    <row r="33" spans="1:17" s="41" customFormat="1" ht="15.75" customHeight="1">
      <c r="A33" s="36" t="s">
        <v>2</v>
      </c>
      <c r="B33" s="42" t="s">
        <v>36</v>
      </c>
      <c r="C33" s="50"/>
      <c r="D33" s="110" t="s">
        <v>78</v>
      </c>
      <c r="E33" s="79" t="b">
        <f>ISBLANK(C33)</f>
        <v>1</v>
      </c>
    </row>
    <row r="34" spans="1:17" s="41" customFormat="1" ht="15.75" customHeight="1">
      <c r="A34" s="36" t="s">
        <v>23</v>
      </c>
      <c r="B34" s="42" t="s">
        <v>47</v>
      </c>
      <c r="C34" s="31">
        <v>0.2</v>
      </c>
      <c r="D34" s="110"/>
      <c r="E34" s="79" t="b">
        <f>ISBLANK(C34)</f>
        <v>0</v>
      </c>
    </row>
    <row r="35" spans="1:17" s="41" customFormat="1" ht="15.75" customHeight="1">
      <c r="D35" s="40"/>
    </row>
    <row r="36" spans="1:17" s="41" customFormat="1" ht="15.75" customHeight="1">
      <c r="A36" s="34" t="s">
        <v>75</v>
      </c>
      <c r="B36" s="35"/>
      <c r="C36" s="35"/>
      <c r="D36" s="40"/>
      <c r="F36" s="98"/>
    </row>
    <row r="37" spans="1:17">
      <c r="A37" s="36" t="s">
        <v>5</v>
      </c>
      <c r="B37" s="52"/>
      <c r="C37" s="80">
        <f>IF(C3="yes",C15/2*C13/(C10*SQRT(C14*C11)),"")</f>
        <v>4.2945235588138971E-4</v>
      </c>
      <c r="D37" s="40"/>
      <c r="E37" s="41"/>
      <c r="F37" s="99"/>
      <c r="G37" s="101"/>
      <c r="H37" s="41"/>
      <c r="I37" s="41"/>
      <c r="J37" s="41"/>
      <c r="K37" s="41"/>
      <c r="L37" s="41"/>
      <c r="M37" s="41"/>
      <c r="N37" s="41"/>
      <c r="O37" s="41"/>
      <c r="P37" s="41"/>
      <c r="Q37" s="41"/>
    </row>
    <row r="38" spans="1:17">
      <c r="A38" s="36" t="s">
        <v>8</v>
      </c>
      <c r="B38" s="51"/>
      <c r="C38" s="80">
        <f>IF(C3="yes",SQRT(C12/C14),"")</f>
        <v>0</v>
      </c>
      <c r="D38" s="40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</row>
    <row r="39" spans="1:17" s="53" customFormat="1">
      <c r="A39" s="36" t="s">
        <v>1</v>
      </c>
      <c r="B39" s="52"/>
      <c r="C39" s="80">
        <f>IF(C3="yes",SQRT(C14/C11),"")</f>
        <v>12.909944487358056</v>
      </c>
      <c r="D39" s="40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</row>
    <row r="40" spans="1:17">
      <c r="A40" s="36"/>
      <c r="B40" s="42"/>
      <c r="C40" s="54"/>
      <c r="D40" s="40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</row>
    <row r="41" spans="1:17" ht="15.6">
      <c r="A41" s="34" t="s">
        <v>76</v>
      </c>
      <c r="B41" s="35"/>
      <c r="C41" s="35"/>
      <c r="D41" s="40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</row>
    <row r="42" spans="1:17">
      <c r="A42" s="36" t="s">
        <v>51</v>
      </c>
      <c r="B42" s="42" t="s">
        <v>52</v>
      </c>
      <c r="C42" s="55">
        <v>5</v>
      </c>
      <c r="D42" s="40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</row>
    <row r="43" spans="1:17">
      <c r="A43" s="36" t="s">
        <v>53</v>
      </c>
      <c r="B43" s="42" t="s">
        <v>54</v>
      </c>
      <c r="C43" s="55">
        <v>0.2</v>
      </c>
      <c r="D43" s="40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</row>
    <row r="44" spans="1:17">
      <c r="A44" s="36" t="s">
        <v>21</v>
      </c>
      <c r="B44" s="46" t="s">
        <v>7</v>
      </c>
      <c r="C44" s="50">
        <v>20</v>
      </c>
      <c r="D44" s="100"/>
      <c r="E44" s="79" t="b">
        <f>ISBLANK(C44)</f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</row>
    <row r="45" spans="1:17">
      <c r="A45" s="36" t="s">
        <v>11</v>
      </c>
      <c r="B45" s="46" t="s">
        <v>9</v>
      </c>
      <c r="C45" s="56"/>
      <c r="D45" s="40"/>
      <c r="E45" s="79" t="b">
        <f>ISBLANK(C45)</f>
        <v>1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</row>
    <row r="46" spans="1:17">
      <c r="A46" s="57"/>
      <c r="B46" s="58"/>
      <c r="C46" s="55"/>
      <c r="D46" s="40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</row>
    <row r="47" spans="1:17" ht="13.8">
      <c r="E47" s="114" t="s">
        <v>55</v>
      </c>
      <c r="F47" s="114"/>
      <c r="G47" s="114"/>
      <c r="H47" s="114"/>
      <c r="I47" s="114"/>
      <c r="J47" s="114"/>
      <c r="K47" s="114"/>
      <c r="L47" s="114"/>
      <c r="N47" s="86" t="s">
        <v>56</v>
      </c>
      <c r="P47" s="87" t="s">
        <v>57</v>
      </c>
      <c r="Q47" s="60" t="s">
        <v>60</v>
      </c>
    </row>
    <row r="48" spans="1:17">
      <c r="A48" s="62"/>
      <c r="B48" s="62"/>
      <c r="C48" s="63"/>
      <c r="D48" s="63"/>
      <c r="E48" s="64" t="s">
        <v>26</v>
      </c>
      <c r="F48" s="113" t="s">
        <v>27</v>
      </c>
      <c r="G48" s="113"/>
      <c r="H48" s="113"/>
      <c r="I48" s="113"/>
      <c r="J48" s="113"/>
      <c r="K48" s="113"/>
      <c r="L48" s="113"/>
      <c r="M48" s="88"/>
      <c r="N48" s="64"/>
      <c r="O48" s="88"/>
      <c r="P48" s="65" t="s">
        <v>58</v>
      </c>
      <c r="Q48" s="65"/>
    </row>
    <row r="49" spans="1:17">
      <c r="A49" s="66" t="s">
        <v>25</v>
      </c>
      <c r="B49" s="66" t="s">
        <v>12</v>
      </c>
      <c r="C49" s="67" t="s">
        <v>6</v>
      </c>
      <c r="D49" s="67" t="s">
        <v>33</v>
      </c>
      <c r="E49" s="68"/>
      <c r="F49" s="69">
        <v>0.1</v>
      </c>
      <c r="G49" s="69">
        <v>0.2</v>
      </c>
      <c r="H49" s="69">
        <v>0.3</v>
      </c>
      <c r="I49" s="69">
        <v>0.4</v>
      </c>
      <c r="J49" s="69">
        <v>0.5</v>
      </c>
      <c r="K49" s="69">
        <v>0.6</v>
      </c>
      <c r="L49" s="69">
        <v>0.7</v>
      </c>
      <c r="M49" s="89" t="s">
        <v>64</v>
      </c>
      <c r="N49" s="68"/>
      <c r="O49" s="89" t="s">
        <v>65</v>
      </c>
      <c r="P49" s="70" t="s">
        <v>59</v>
      </c>
      <c r="Q49" s="70"/>
    </row>
    <row r="50" spans="1:17">
      <c r="A50" s="81">
        <f>IF(ISBLANK($C$45),0,$C$45)</f>
        <v>0</v>
      </c>
      <c r="B50" s="81">
        <f>IF(ISBLANK($C$44),0,$C$44)</f>
        <v>20</v>
      </c>
      <c r="C50" s="82">
        <f t="shared" ref="C50:C81" si="0">IF((B50-$C$13/$C$16*A50)&gt;0,SQRT(B50-$C$13/$C$16*A50),0)</f>
        <v>4.4721359549995796</v>
      </c>
      <c r="D50" s="82">
        <f t="shared" ref="D50:D81" si="1">IF((B50-($C$13/$C$16*$A50+$C$19))&gt;0,SQRT(B50-($C$13/$C$16*$A50+$C$19)),0)</f>
        <v>3.1622776601683795</v>
      </c>
      <c r="E50" s="83">
        <f t="shared" ref="E50:E81" si="2">IF(AND($C50&gt;0,$D50=0),0.5*EXP(-$C$12*$A50/$C$16)*(EXP(-$C$13*$A50/$C$16*$C$38/$C$37)*2*NORMSDIST(-($C$13*$A50/$C$16/(2*$C$37*$C50)-$C$38*$C50)*SQRT(2))+EXP($C$13*$A50/$C$16*$C$38/$C$37)*2*NORMSDIST(-($C$13*$A50/$C$16/(2*$C$37*$C50)+$C$38*$C50)*SQRT(2)))*$C$9,IF($D50&gt;0,0.5*EXP(-$C$12*$A50/$C$16)*((EXP(-$C$13*$A50/$C$16*$C$38/$C$37)*2*NORMSDIST(-($C$13*$A50/$C$16/(2*$C$37*$C50)-$C$38*$C50)*SQRT(2))+EXP($C$13*$A50/$C$16*$C$38/$C$37)*2*NORMSDIST(-($C$13*$A50/$C$16/(2*$C$37*$C50)+$C$38*$C50)*SQRT(2)))-(EXP(-$C$13*$A50/$C$16*$C$38/$C$37)*2*NORMSDIST(-($C$13*$A50/$C$16/(2*$C$37*$D50)-$C$38*$D50)*SQRT(2))+EXP($C$13*$A50/$C$16*$C$38/$C$37)*2*NORMSDIST(-($C$13*$A50/$C$16/(2*$C$37*$D50)+$C$38*$D50)*SQRT(2))))*$C$9,0))</f>
        <v>0</v>
      </c>
      <c r="F50" s="84">
        <f t="shared" ref="F50:L59" si="3">IF(AND($C50&gt;0,$D50=0),0.5*EXP(-$C$12*$A50/$C$16)*(EXP(-($C$13*$A50/$C$16/$C$37+$C$39*F$49)*$C$38)*2*NORMSDIST(-(($C$13*$A50/$C$16/$C$37+$C$39*F$49)/(2*$C50)-$C$38*$C50)*SQRT(2))+EXP(($C$13*$A50/$C$16/$C$37+$C$39*F$49)*$C$38)*2*NORMSDIST(-(($C$13*$A50/$C$16/$C$37+$C$39*F$49)/(2*$C50)+$C$38*$C50)*SQRT(2)))*$C$9,IF($C50=0,0,0.5*EXP(-$C$12*$A50/$C$16)*((EXP(-($C$13*$A50/$C$16/$C$37+$C$39*F$49)*$C$38)*2*NORMSDIST(-(($C$13*$A50/$C$16/$C$37+$C$39*F$49)/(2*$C50)-$C$38*$C50)*SQRT(2))+EXP(($C$13*$A50/$C$16/$C$37+$C$39*F$49)*$C$38)*2*NORMSDIST(-(($C$13*$A50/$C$16/$C$37+$C$39*F$49)/(2*$C50)+$C$38*$C50)*SQRT(2)))-(EXP(-($C$13*$A50/$C$16/$C$37+$C$39*F$49)*$C$38)*2*NORMSDIST(-(($C$13*$A50/$C$16/$C$37+$C$39*F$49)/(2*$D50)-$C$38*$D50)*SQRT(2))+EXP(($C$13*$A50/$C$16/$C$37+$C$39*F$49)*$C$38)*2*NORMSDIST(-(($C$13*$A50/$C$16/$C$37+$C$39*F$49)/(2*$D50)+$C$38*$D50)*SQRT(2))))*$C$9))</f>
        <v>6.5426493701378652E-2</v>
      </c>
      <c r="G50" s="84">
        <f t="shared" si="3"/>
        <v>0.11938853665883564</v>
      </c>
      <c r="H50" s="84">
        <f t="shared" si="3"/>
        <v>0.153815143836187</v>
      </c>
      <c r="I50" s="84">
        <f t="shared" si="3"/>
        <v>0.16600309925260137</v>
      </c>
      <c r="J50" s="84">
        <f t="shared" si="3"/>
        <v>0.15851949274862953</v>
      </c>
      <c r="K50" s="84">
        <f t="shared" si="3"/>
        <v>0.13740684525629643</v>
      </c>
      <c r="L50" s="84">
        <f t="shared" si="3"/>
        <v>0.10973374134802771</v>
      </c>
      <c r="M50" s="92">
        <f>IF($C$17&gt;0,$C$17*(1+4*$C$12*($C$18*$C$17+$C$11)/$C$17^2)^0.5,SQRT(4*$C$12*$C$11))</f>
        <v>0.10512000000000001</v>
      </c>
      <c r="N50" s="83">
        <f>IF($A$50=0,IF($B$50&gt;$C$19,0,$C$9),0)</f>
        <v>0</v>
      </c>
      <c r="O50" s="92">
        <f t="shared" ref="O50:O81" si="4">SQRT(4*$C$12*$C$11)</f>
        <v>0</v>
      </c>
      <c r="P50" s="83">
        <f>IF($A$50=0,IF($B$50&gt;$C$19,0,$C$9),0)</f>
        <v>0</v>
      </c>
      <c r="Q50" s="90"/>
    </row>
    <row r="51" spans="1:17">
      <c r="A51" s="81">
        <f t="shared" ref="A51:A82" si="5">IF(ISBLANK($C$45),A50+$C$43,$C$45)</f>
        <v>0.2</v>
      </c>
      <c r="B51" s="81">
        <f t="shared" ref="B51:B82" si="6">IF(ISBLANK($C$44),B50+$C$42,$C$44)</f>
        <v>20</v>
      </c>
      <c r="C51" s="82">
        <f t="shared" si="0"/>
        <v>4.4721218028976626</v>
      </c>
      <c r="D51" s="82">
        <f t="shared" si="1"/>
        <v>3.1622576460422449</v>
      </c>
      <c r="E51" s="83">
        <f t="shared" si="2"/>
        <v>1.5377890979005659E-2</v>
      </c>
      <c r="F51" s="84">
        <f t="shared" si="3"/>
        <v>7.9123370732833154E-2</v>
      </c>
      <c r="G51" s="84">
        <f t="shared" si="3"/>
        <v>0.12916052802197941</v>
      </c>
      <c r="H51" s="84">
        <f t="shared" si="3"/>
        <v>0.15854164332464915</v>
      </c>
      <c r="I51" s="84">
        <f t="shared" si="3"/>
        <v>0.16584932919795259</v>
      </c>
      <c r="J51" s="84">
        <f t="shared" si="3"/>
        <v>0.15464501029888322</v>
      </c>
      <c r="K51" s="84">
        <f t="shared" si="3"/>
        <v>0.1314214429370153</v>
      </c>
      <c r="L51" s="84">
        <f t="shared" si="3"/>
        <v>0.10316416609903456</v>
      </c>
      <c r="M51" s="92">
        <f t="shared" ref="M51:M114" si="7">IF($C$17&gt;0,$C$17*(1+4*$C$12*($C$18*$C$17+$C$11)/$C$17^2)^0.5,SQRT(4*$C$12*$C$11))</f>
        <v>0.10512000000000001</v>
      </c>
      <c r="N51" s="83">
        <f>IF($B51&lt;=$C$19,$C$9/2*(EXP(($C$17-$M51)*$A51/(2*($C$18*$C$17+$C$11)))*2*NORMSDIST(-(($C$14*$A51-$M51*$B51)/(2*SQRT(($C$18*$C$17+$C$11)*$C$14*$B51)))*SQRT(2))+EXP(($C$17+$M51)*$A51/(2*($C$18*$C$17+$C$11)))*2*NORMSDIST(-(($C$14*$A51+$M51*$B51)/(2*SQRT(($C$18*$C$17+$C$11)*$C$14*$B51)))*SQRT(2))),$C$9/2*(EXP(($C$17-$M51)*$A51/(2*($C$18*$C$17+$C$11)))*2*NORMSDIST(-(($C$14*$A51-$M51*$B51)/(2*SQRT(($C$18*$C$17+$C$11)*$C$14*$B51)))*SQRT(2))+EXP(($C$17+$M51)*$A51/(2*($C$18*$C$17+$C$11)))*2*NORMSDIST(-(($C$14*$A51+$M51*$B51)/(2*SQRT(($C$18*$C$17+$C$11)*$C$14*$B51)))*SQRT(2))-EXP(($C$17-$M51)*$A51/(2*($C$18*$C$17+$C$11)))*2*NORMSDIST(-(($C$14*$A51-$M51*($B51-$C$19))/(2*SQRT(($C$18*$C$17+$C$11)*$C$14*($B51-$C$19))))*SQRT(2))-EXP(($C$17+$M51)*$A51/(2*($C$18*$C$17+$C$11)))*2*NORMSDIST(-(($C$14*$A51+$M51*($B51-$C$19))/(2*SQRT(($C$18*$C$17+$C$11)*$C$14*($B51-$C$19))))*SQRT(2))))</f>
        <v>1.5267833852610414E-2</v>
      </c>
      <c r="O51" s="92">
        <f t="shared" si="4"/>
        <v>0</v>
      </c>
      <c r="P51" s="83">
        <f t="shared" ref="P51:P82" si="8">IF($B51&lt;=$C$19,$C$9/2*(EXP((-$O51)*$A51/(2*($C$11)))*2*NORMSDIST(-(($C$14*$A51-$O51*$B51)/(2*SQRT(($C$11)*$C$14*$B51)))*SQRT(2))+EXP(($O51)*$A51/(2*($C$11)))*2*NORMSDIST(-(($C$14*$A51+$O51*$B51)/(2*SQRT(($C$11)*$C$14*$B51)))*SQRT(2))),$C$9/2*(EXP((-$O51)*$A51/(2*($C$11)))*2*NORMSDIST(-(($C$14*$A51-$O51*$B51)/(2*SQRT(($C$11)*$C$14*$B51)))*SQRT(2))+EXP(($O51)*$A51/(2*($C$11)))*2*NORMSDIST(-(($C$14*$A51+$O51*$B51)/(2*SQRT(($C$11)*$C$14*$B51)))*SQRT(2))-EXP((-$O51)*$A51/(2*($C$11)))*2*NORMSDIST(-(($C$14*$A51-$O51*($B51-$C$19))/(2*SQRT(($C$11)*$C$14*($B51-$C$19))))*SQRT(2))-EXP(($O51)*$A51/(2*($C$11)))*2*NORMSDIST(-(($C$14*$A51+$O51*($B51-$C$19))/(2*SQRT(($C$11)*$C$14*($B51-$C$19))))*SQRT(2))))</f>
        <v>0.11938853665883564</v>
      </c>
      <c r="Q51" s="71"/>
    </row>
    <row r="52" spans="1:17">
      <c r="A52" s="81">
        <f t="shared" si="5"/>
        <v>0.4</v>
      </c>
      <c r="B52" s="81">
        <f t="shared" si="6"/>
        <v>20</v>
      </c>
      <c r="C52" s="82">
        <f t="shared" si="0"/>
        <v>4.4721076507509609</v>
      </c>
      <c r="D52" s="82">
        <f t="shared" si="1"/>
        <v>3.1622376317894392</v>
      </c>
      <c r="E52" s="83">
        <f t="shared" si="2"/>
        <v>3.060914981941254E-2</v>
      </c>
      <c r="F52" s="84">
        <f t="shared" si="3"/>
        <v>9.2088532669536205E-2</v>
      </c>
      <c r="G52" s="84">
        <f t="shared" si="3"/>
        <v>0.13783196820784527</v>
      </c>
      <c r="H52" s="84">
        <f t="shared" si="3"/>
        <v>0.16209614130817407</v>
      </c>
      <c r="I52" s="84">
        <f t="shared" si="3"/>
        <v>0.16471814704596599</v>
      </c>
      <c r="J52" s="84">
        <f t="shared" si="3"/>
        <v>0.15014210684025819</v>
      </c>
      <c r="K52" s="84">
        <f t="shared" si="3"/>
        <v>0.12517962341633115</v>
      </c>
      <c r="L52" s="84">
        <f t="shared" si="3"/>
        <v>9.6634907291718974E-2</v>
      </c>
      <c r="M52" s="92">
        <f t="shared" si="7"/>
        <v>0.10512000000000001</v>
      </c>
      <c r="N52" s="83">
        <f t="shared" ref="N52:N115" si="9">IF($B52&lt;=$C$19,$C$9/2*(EXP(($C$17-$M52)*$A52/(2*($C$18*$C$17+$C$11)))*2*NORMSDIST(-(($C$14*$A52-$M52*$B52)/(2*SQRT(($C$18*$C$17+$C$11)*$C$14*$B52)))*SQRT(2))+EXP(($C$17+$M52)*$A52/(2*($C$18*$C$17+$C$11)))*2*NORMSDIST(-(($C$14*$A52+$M52*$B52)/(2*SQRT(($C$18*$C$17+$C$11)*$C$14*$B52)))*SQRT(2))),$C$9/2*(EXP(($C$17-$M52)*$A52/(2*($C$18*$C$17+$C$11)))*2*NORMSDIST(-(($C$14*$A52-$M52*$B52)/(2*SQRT(($C$18*$C$17+$C$11)*$C$14*$B52)))*SQRT(2))+EXP(($C$17+$M52)*$A52/(2*($C$18*$C$17+$C$11)))*2*NORMSDIST(-(($C$14*$A52+$M52*$B52)/(2*SQRT(($C$18*$C$17+$C$11)*$C$14*$B52)))*SQRT(2))-EXP(($C$17-$M52)*$A52/(2*($C$18*$C$17+$C$11)))*2*NORMSDIST(-(($C$14*$A52-$M52*($B52-$C$19))/(2*SQRT(($C$18*$C$17+$C$11)*$C$14*($B52-$C$19))))*SQRT(2))-EXP(($C$17+$M52)*$A52/(2*($C$18*$C$17+$C$11)))*2*NORMSDIST(-(($C$14*$A52+$M52*($B52-$C$19))/(2*SQRT(($C$18*$C$17+$C$11)*$C$14*($B52-$C$19))))*SQRT(2))))</f>
        <v>4.9952830829579811E-2</v>
      </c>
      <c r="O52" s="92">
        <f t="shared" si="4"/>
        <v>0</v>
      </c>
      <c r="P52" s="83">
        <f t="shared" si="8"/>
        <v>0.16600309925260137</v>
      </c>
      <c r="Q52" s="71"/>
    </row>
    <row r="53" spans="1:17">
      <c r="A53" s="81">
        <f t="shared" si="5"/>
        <v>0.60000000000000009</v>
      </c>
      <c r="B53" s="81">
        <f t="shared" si="6"/>
        <v>20</v>
      </c>
      <c r="C53" s="82">
        <f t="shared" si="0"/>
        <v>4.4720934985594738</v>
      </c>
      <c r="D53" s="82">
        <f t="shared" si="1"/>
        <v>3.1622176174099592</v>
      </c>
      <c r="E53" s="83">
        <f t="shared" si="2"/>
        <v>4.5549132275749082E-2</v>
      </c>
      <c r="F53" s="84">
        <f t="shared" si="3"/>
        <v>0.10421397840451951</v>
      </c>
      <c r="G53" s="84">
        <f t="shared" si="3"/>
        <v>0.14535972911793626</v>
      </c>
      <c r="H53" s="84">
        <f t="shared" si="3"/>
        <v>0.16450274805545551</v>
      </c>
      <c r="I53" s="84">
        <f t="shared" si="3"/>
        <v>0.16268049481154678</v>
      </c>
      <c r="J53" s="84">
        <f t="shared" si="3"/>
        <v>0.14509803868556514</v>
      </c>
      <c r="K53" s="84">
        <f t="shared" si="3"/>
        <v>0.11875822388305224</v>
      </c>
      <c r="L53" s="84">
        <f t="shared" si="3"/>
        <v>9.0197642886694629E-2</v>
      </c>
      <c r="M53" s="92">
        <f t="shared" si="7"/>
        <v>0.10512000000000001</v>
      </c>
      <c r="N53" s="83">
        <f t="shared" si="9"/>
        <v>0.11147414611384107</v>
      </c>
      <c r="O53" s="92">
        <f t="shared" si="4"/>
        <v>0</v>
      </c>
      <c r="P53" s="83">
        <f t="shared" si="8"/>
        <v>0.13740684525629643</v>
      </c>
      <c r="Q53" s="71"/>
    </row>
    <row r="54" spans="1:17">
      <c r="A54" s="81">
        <f t="shared" si="5"/>
        <v>0.8</v>
      </c>
      <c r="B54" s="81">
        <f t="shared" si="6"/>
        <v>20</v>
      </c>
      <c r="C54" s="82">
        <f t="shared" si="0"/>
        <v>4.472079346323202</v>
      </c>
      <c r="D54" s="82">
        <f t="shared" si="1"/>
        <v>3.1621976029038028</v>
      </c>
      <c r="E54" s="83">
        <f t="shared" si="2"/>
        <v>6.0057984650317087E-2</v>
      </c>
      <c r="F54" s="84">
        <f t="shared" si="3"/>
        <v>0.11540489222411998</v>
      </c>
      <c r="G54" s="84">
        <f t="shared" si="3"/>
        <v>0.15171678819057077</v>
      </c>
      <c r="H54" s="84">
        <f t="shared" si="3"/>
        <v>0.16579867075744703</v>
      </c>
      <c r="I54" s="84">
        <f t="shared" si="3"/>
        <v>0.15981379127422102</v>
      </c>
      <c r="J54" s="84">
        <f t="shared" si="3"/>
        <v>0.13959968267342848</v>
      </c>
      <c r="K54" s="84">
        <f t="shared" si="3"/>
        <v>0.11222914266572959</v>
      </c>
      <c r="L54" s="84">
        <f t="shared" si="3"/>
        <v>8.3897623383375475E-2</v>
      </c>
      <c r="M54" s="92">
        <f t="shared" si="7"/>
        <v>0.10512000000000001</v>
      </c>
      <c r="N54" s="83">
        <f t="shared" si="9"/>
        <v>0.20151547640111472</v>
      </c>
      <c r="O54" s="92">
        <f t="shared" si="4"/>
        <v>0</v>
      </c>
      <c r="P54" s="83">
        <f t="shared" si="8"/>
        <v>8.1549099521955659E-2</v>
      </c>
      <c r="Q54" s="71"/>
    </row>
    <row r="55" spans="1:17">
      <c r="A55" s="81">
        <f t="shared" si="5"/>
        <v>1</v>
      </c>
      <c r="B55" s="81">
        <f t="shared" si="6"/>
        <v>20</v>
      </c>
      <c r="C55" s="82">
        <f t="shared" si="0"/>
        <v>4.4720651940421439</v>
      </c>
      <c r="D55" s="82">
        <f t="shared" si="1"/>
        <v>3.1621775882709682</v>
      </c>
      <c r="E55" s="83">
        <f t="shared" si="2"/>
        <v>7.4002903323827196E-2</v>
      </c>
      <c r="F55" s="84">
        <f t="shared" si="3"/>
        <v>0.12558086219082076</v>
      </c>
      <c r="G55" s="84">
        <f t="shared" si="3"/>
        <v>0.15689201609205661</v>
      </c>
      <c r="H55" s="84">
        <f t="shared" si="3"/>
        <v>0.16603290037251139</v>
      </c>
      <c r="I55" s="84">
        <f t="shared" si="3"/>
        <v>0.15620027169841477</v>
      </c>
      <c r="J55" s="84">
        <f t="shared" si="3"/>
        <v>0.1337322352325836</v>
      </c>
      <c r="K55" s="84">
        <f t="shared" si="3"/>
        <v>0.10565873596985953</v>
      </c>
      <c r="L55" s="84">
        <f t="shared" si="3"/>
        <v>7.7773707679158033E-2</v>
      </c>
      <c r="M55" s="92">
        <f t="shared" si="7"/>
        <v>0.10512000000000001</v>
      </c>
      <c r="N55" s="83">
        <f t="shared" si="9"/>
        <v>0.31215924106650383</v>
      </c>
      <c r="O55" s="92">
        <f t="shared" si="4"/>
        <v>0</v>
      </c>
      <c r="P55" s="83">
        <f t="shared" si="8"/>
        <v>3.7334416214384492E-2</v>
      </c>
      <c r="Q55" s="71"/>
    </row>
    <row r="56" spans="1:17">
      <c r="A56" s="81">
        <f t="shared" si="5"/>
        <v>1.2</v>
      </c>
      <c r="B56" s="81">
        <f t="shared" si="6"/>
        <v>20</v>
      </c>
      <c r="C56" s="82">
        <f t="shared" si="0"/>
        <v>4.4720510417162993</v>
      </c>
      <c r="D56" s="82">
        <f t="shared" si="1"/>
        <v>3.1621575735114527</v>
      </c>
      <c r="E56" s="83">
        <f t="shared" si="2"/>
        <v>8.7260227516350319E-2</v>
      </c>
      <c r="F56" s="84">
        <f t="shared" si="3"/>
        <v>0.13467677901031716</v>
      </c>
      <c r="G56" s="84">
        <f t="shared" si="3"/>
        <v>0.16088966153190709</v>
      </c>
      <c r="H56" s="84">
        <f t="shared" si="3"/>
        <v>0.16526474709035721</v>
      </c>
      <c r="I56" s="84">
        <f t="shared" si="3"/>
        <v>0.15192535747068958</v>
      </c>
      <c r="J56" s="84">
        <f t="shared" si="3"/>
        <v>0.12757805679023804</v>
      </c>
      <c r="K56" s="84">
        <f t="shared" si="3"/>
        <v>9.9107377221959947E-2</v>
      </c>
      <c r="L56" s="84">
        <f t="shared" si="3"/>
        <v>7.1858509320867681E-2</v>
      </c>
      <c r="M56" s="92">
        <f t="shared" si="7"/>
        <v>0.10512000000000001</v>
      </c>
      <c r="N56" s="83">
        <f t="shared" si="9"/>
        <v>0.42595485461067106</v>
      </c>
      <c r="O56" s="92">
        <f t="shared" si="4"/>
        <v>0</v>
      </c>
      <c r="P56" s="83">
        <f t="shared" si="8"/>
        <v>1.3773872930289643E-2</v>
      </c>
      <c r="Q56" s="71"/>
    </row>
    <row r="57" spans="1:17">
      <c r="A57" s="81">
        <f t="shared" si="5"/>
        <v>1.4</v>
      </c>
      <c r="B57" s="81">
        <f t="shared" si="6"/>
        <v>20</v>
      </c>
      <c r="C57" s="82">
        <f t="shared" si="0"/>
        <v>4.4720368893456675</v>
      </c>
      <c r="D57" s="82">
        <f t="shared" si="1"/>
        <v>3.1621375586252531</v>
      </c>
      <c r="E57" s="83">
        <f t="shared" si="2"/>
        <v>9.9717317739435929E-2</v>
      </c>
      <c r="F57" s="84">
        <f t="shared" si="3"/>
        <v>0.14264340376620321</v>
      </c>
      <c r="G57" s="84">
        <f t="shared" si="3"/>
        <v>0.16372855910612039</v>
      </c>
      <c r="H57" s="84">
        <f t="shared" si="3"/>
        <v>0.1635622673388486</v>
      </c>
      <c r="I57" s="84">
        <f t="shared" si="3"/>
        <v>0.14707609016173229</v>
      </c>
      <c r="J57" s="84">
        <f t="shared" si="3"/>
        <v>0.12121567384404308</v>
      </c>
      <c r="K57" s="84">
        <f t="shared" si="3"/>
        <v>9.2629171421875656E-2</v>
      </c>
      <c r="L57" s="84">
        <f t="shared" si="3"/>
        <v>6.617863690470438E-2</v>
      </c>
      <c r="M57" s="92">
        <f t="shared" si="7"/>
        <v>0.10512000000000001</v>
      </c>
      <c r="N57" s="83">
        <f t="shared" si="9"/>
        <v>0.52099612623346847</v>
      </c>
      <c r="O57" s="92">
        <f t="shared" si="4"/>
        <v>0</v>
      </c>
      <c r="P57" s="83">
        <f t="shared" si="8"/>
        <v>4.2136035405819783E-3</v>
      </c>
      <c r="Q57" s="71"/>
    </row>
    <row r="58" spans="1:17">
      <c r="A58" s="81">
        <f t="shared" si="5"/>
        <v>1.5999999999999999</v>
      </c>
      <c r="B58" s="81">
        <f t="shared" si="6"/>
        <v>20</v>
      </c>
      <c r="C58" s="82">
        <f t="shared" si="0"/>
        <v>4.4720227369302492</v>
      </c>
      <c r="D58" s="82">
        <f t="shared" si="1"/>
        <v>3.1621175436123679</v>
      </c>
      <c r="E58" s="83">
        <f t="shared" si="2"/>
        <v>0.111274179043928</v>
      </c>
      <c r="F58" s="84">
        <f t="shared" si="3"/>
        <v>0.14944760231063769</v>
      </c>
      <c r="G58" s="84">
        <f t="shared" si="3"/>
        <v>0.16544109227101744</v>
      </c>
      <c r="H58" s="84">
        <f t="shared" si="3"/>
        <v>0.16100062535715232</v>
      </c>
      <c r="I58" s="84">
        <f t="shared" si="3"/>
        <v>0.14173966005748895</v>
      </c>
      <c r="J58" s="84">
        <f t="shared" si="3"/>
        <v>0.11471894578045938</v>
      </c>
      <c r="K58" s="84">
        <f t="shared" si="3"/>
        <v>8.6271813824343235E-2</v>
      </c>
      <c r="L58" s="84">
        <f t="shared" si="3"/>
        <v>6.0755012064382719E-2</v>
      </c>
      <c r="M58" s="92">
        <f t="shared" si="7"/>
        <v>0.10512000000000001</v>
      </c>
      <c r="N58" s="83">
        <f t="shared" si="9"/>
        <v>0.57871734750167358</v>
      </c>
      <c r="O58" s="92">
        <f t="shared" si="4"/>
        <v>0</v>
      </c>
      <c r="P58" s="83">
        <f t="shared" si="8"/>
        <v>1.086975559609904E-3</v>
      </c>
      <c r="Q58" s="71"/>
    </row>
    <row r="59" spans="1:17">
      <c r="A59" s="81">
        <f t="shared" si="5"/>
        <v>1.7999999999999998</v>
      </c>
      <c r="B59" s="81">
        <f t="shared" si="6"/>
        <v>20</v>
      </c>
      <c r="C59" s="82">
        <f t="shared" si="0"/>
        <v>4.4720085844700428</v>
      </c>
      <c r="D59" s="82">
        <f t="shared" si="1"/>
        <v>3.1620975284727946</v>
      </c>
      <c r="E59" s="83">
        <f t="shared" si="2"/>
        <v>0.12184479597783526</v>
      </c>
      <c r="F59" s="84">
        <f t="shared" si="3"/>
        <v>0.15507225324525686</v>
      </c>
      <c r="G59" s="84">
        <f t="shared" si="3"/>
        <v>0.1660719484429527</v>
      </c>
      <c r="H59" s="84">
        <f t="shared" si="3"/>
        <v>0.15766043114712147</v>
      </c>
      <c r="I59" s="84">
        <f t="shared" si="3"/>
        <v>0.13600205421684031</v>
      </c>
      <c r="J59" s="84">
        <f t="shared" si="3"/>
        <v>0.10815639859703041</v>
      </c>
      <c r="K59" s="84">
        <f t="shared" si="3"/>
        <v>8.0076579850607343E-2</v>
      </c>
      <c r="L59" s="84">
        <f t="shared" si="3"/>
        <v>5.5603248679939599E-2</v>
      </c>
      <c r="M59" s="92">
        <f t="shared" si="7"/>
        <v>0.10512000000000001</v>
      </c>
      <c r="N59" s="83">
        <f t="shared" si="9"/>
        <v>0.59018131773145821</v>
      </c>
      <c r="O59" s="92">
        <f t="shared" si="4"/>
        <v>0</v>
      </c>
      <c r="P59" s="83">
        <f t="shared" si="8"/>
        <v>2.3835999857038339E-4</v>
      </c>
      <c r="Q59" s="71"/>
    </row>
    <row r="60" spans="1:17">
      <c r="A60" s="81">
        <f t="shared" si="5"/>
        <v>1.9999999999999998</v>
      </c>
      <c r="B60" s="81">
        <f t="shared" si="6"/>
        <v>20</v>
      </c>
      <c r="C60" s="82">
        <f t="shared" si="0"/>
        <v>4.4719944319650482</v>
      </c>
      <c r="D60" s="82">
        <f t="shared" si="1"/>
        <v>3.1620775132065302</v>
      </c>
      <c r="E60" s="83">
        <f t="shared" si="2"/>
        <v>0.13135815484553537</v>
      </c>
      <c r="F60" s="84">
        <f t="shared" ref="F60:L69" si="10">IF(AND($C60&gt;0,$D60=0),0.5*EXP(-$C$12*$A60/$C$16)*(EXP(-($C$13*$A60/$C$16/$C$37+$C$39*F$49)*$C$38)*2*NORMSDIST(-(($C$13*$A60/$C$16/$C$37+$C$39*F$49)/(2*$C60)-$C$38*$C60)*SQRT(2))+EXP(($C$13*$A60/$C$16/$C$37+$C$39*F$49)*$C$38)*2*NORMSDIST(-(($C$13*$A60/$C$16/$C$37+$C$39*F$49)/(2*$C60)+$C$38*$C60)*SQRT(2)))*$C$9,IF($C60=0,0,0.5*EXP(-$C$12*$A60/$C$16)*((EXP(-($C$13*$A60/$C$16/$C$37+$C$39*F$49)*$C$38)*2*NORMSDIST(-(($C$13*$A60/$C$16/$C$37+$C$39*F$49)/(2*$C60)-$C$38*$C60)*SQRT(2))+EXP(($C$13*$A60/$C$16/$C$37+$C$39*F$49)*$C$38)*2*NORMSDIST(-(($C$13*$A60/$C$16/$C$37+$C$39*F$49)/(2*$C60)+$C$38*$C60)*SQRT(2)))-(EXP(-($C$13*$A60/$C$16/$C$37+$C$39*F$49)*$C$38)*2*NORMSDIST(-(($C$13*$A60/$C$16/$C$37+$C$39*F$49)/(2*$D60)-$C$38*$D60)*SQRT(2))+EXP(($C$13*$A60/$C$16/$C$37+$C$39*F$49)*$C$38)*2*NORMSDIST(-(($C$13*$A60/$C$16/$C$37+$C$39*F$49)/(2*$D60)+$C$38*$D60)*SQRT(2))))*$C$9))</f>
        <v>0.15951584500362914</v>
      </c>
      <c r="G60" s="84">
        <f t="shared" si="10"/>
        <v>0.16567670670839019</v>
      </c>
      <c r="H60" s="84">
        <f t="shared" si="10"/>
        <v>0.15362609422648199</v>
      </c>
      <c r="I60" s="84">
        <f t="shared" si="10"/>
        <v>0.12994684381598476</v>
      </c>
      <c r="J60" s="84">
        <f t="shared" si="10"/>
        <v>0.10159072320357776</v>
      </c>
      <c r="K60" s="84">
        <f t="shared" si="10"/>
        <v>7.4078431371574549E-2</v>
      </c>
      <c r="L60" s="84">
        <f t="shared" si="10"/>
        <v>5.0734077567971436E-2</v>
      </c>
      <c r="M60" s="92">
        <f t="shared" si="7"/>
        <v>0.10512000000000001</v>
      </c>
      <c r="N60" s="83">
        <f t="shared" si="9"/>
        <v>0.55779787602589892</v>
      </c>
      <c r="O60" s="92">
        <f t="shared" si="4"/>
        <v>0</v>
      </c>
      <c r="P60" s="83">
        <f t="shared" si="8"/>
        <v>4.4549326581253749E-5</v>
      </c>
      <c r="Q60" s="71"/>
    </row>
    <row r="61" spans="1:17">
      <c r="A61" s="81">
        <f t="shared" si="5"/>
        <v>2.1999999999999997</v>
      </c>
      <c r="B61" s="81">
        <f t="shared" si="6"/>
        <v>20</v>
      </c>
      <c r="C61" s="82">
        <f t="shared" si="0"/>
        <v>4.4719802794152654</v>
      </c>
      <c r="D61" s="82">
        <f t="shared" si="1"/>
        <v>3.1620574978135729</v>
      </c>
      <c r="E61" s="83">
        <f t="shared" si="2"/>
        <v>0.1397589380772335</v>
      </c>
      <c r="F61" s="84">
        <f t="shared" si="10"/>
        <v>0.16279178527921645</v>
      </c>
      <c r="G61" s="84">
        <f t="shared" si="10"/>
        <v>0.16432030067561154</v>
      </c>
      <c r="H61" s="84">
        <f t="shared" si="10"/>
        <v>0.14898422921131393</v>
      </c>
      <c r="I61" s="84">
        <f t="shared" si="10"/>
        <v>0.12365412513794194</v>
      </c>
      <c r="J61" s="84">
        <f t="shared" si="10"/>
        <v>9.5078432038353311E-2</v>
      </c>
      <c r="K61" s="84">
        <f t="shared" si="10"/>
        <v>6.8306223382508469E-2</v>
      </c>
      <c r="L61" s="84">
        <f t="shared" si="10"/>
        <v>4.6153801898606739E-2</v>
      </c>
      <c r="M61" s="92">
        <f t="shared" si="7"/>
        <v>0.10512000000000001</v>
      </c>
      <c r="N61" s="83">
        <f t="shared" si="9"/>
        <v>0.49250951812792809</v>
      </c>
      <c r="O61" s="92">
        <f t="shared" si="4"/>
        <v>0</v>
      </c>
      <c r="P61" s="83">
        <f t="shared" si="8"/>
        <v>7.0976942511919591E-6</v>
      </c>
      <c r="Q61" s="71"/>
    </row>
    <row r="62" spans="1:17">
      <c r="A62" s="81">
        <f t="shared" si="5"/>
        <v>2.4</v>
      </c>
      <c r="B62" s="81">
        <f t="shared" si="6"/>
        <v>20</v>
      </c>
      <c r="C62" s="82">
        <f t="shared" si="0"/>
        <v>4.4719661268206936</v>
      </c>
      <c r="D62" s="82">
        <f t="shared" si="1"/>
        <v>3.1620374822939201</v>
      </c>
      <c r="E62" s="83">
        <f t="shared" si="2"/>
        <v>0.14700788493689521</v>
      </c>
      <c r="F62" s="84">
        <f t="shared" si="10"/>
        <v>0.16492745270052356</v>
      </c>
      <c r="G62" s="84">
        <f t="shared" si="10"/>
        <v>0.16207539962279083</v>
      </c>
      <c r="H62" s="84">
        <f t="shared" si="10"/>
        <v>0.1438221450454642</v>
      </c>
      <c r="I62" s="84">
        <f t="shared" si="10"/>
        <v>0.11719962324960664</v>
      </c>
      <c r="J62" s="84">
        <f t="shared" si="10"/>
        <v>8.8669664409680937E-2</v>
      </c>
      <c r="K62" s="84">
        <f t="shared" si="10"/>
        <v>6.2782994562087691E-2</v>
      </c>
      <c r="L62" s="84">
        <f t="shared" si="10"/>
        <v>4.1864769844513372E-2</v>
      </c>
      <c r="M62" s="92">
        <f t="shared" si="7"/>
        <v>0.10512000000000001</v>
      </c>
      <c r="N62" s="83">
        <f t="shared" si="9"/>
        <v>0.40886605459531389</v>
      </c>
      <c r="O62" s="92">
        <f t="shared" si="4"/>
        <v>0</v>
      </c>
      <c r="P62" s="83">
        <f t="shared" si="8"/>
        <v>9.6335283545812165E-7</v>
      </c>
      <c r="Q62" s="71"/>
    </row>
    <row r="63" spans="1:17">
      <c r="A63" s="81">
        <f t="shared" si="5"/>
        <v>2.6</v>
      </c>
      <c r="B63" s="81">
        <f t="shared" si="6"/>
        <v>20</v>
      </c>
      <c r="C63" s="82">
        <f t="shared" si="0"/>
        <v>4.4719519741813318</v>
      </c>
      <c r="D63" s="82">
        <f t="shared" si="1"/>
        <v>3.1620174666475696</v>
      </c>
      <c r="E63" s="83">
        <f t="shared" si="2"/>
        <v>0.15308182208126664</v>
      </c>
      <c r="F63" s="84">
        <f t="shared" si="10"/>
        <v>0.16596302605961988</v>
      </c>
      <c r="G63" s="84">
        <f t="shared" si="10"/>
        <v>0.15902075036936636</v>
      </c>
      <c r="H63" s="84">
        <f t="shared" si="10"/>
        <v>0.13822644487985403</v>
      </c>
      <c r="I63" s="84">
        <f t="shared" si="10"/>
        <v>0.110653962347256</v>
      </c>
      <c r="J63" s="84">
        <f t="shared" si="10"/>
        <v>8.2408128300928807E-2</v>
      </c>
      <c r="K63" s="84">
        <f t="shared" si="10"/>
        <v>5.7526325216606056E-2</v>
      </c>
      <c r="L63" s="84">
        <f t="shared" si="10"/>
        <v>3.7865852423695223E-2</v>
      </c>
      <c r="M63" s="92">
        <f t="shared" si="7"/>
        <v>0.10512000000000001</v>
      </c>
      <c r="N63" s="83">
        <f t="shared" si="9"/>
        <v>0.32062412576639504</v>
      </c>
      <c r="O63" s="92">
        <f t="shared" si="4"/>
        <v>0</v>
      </c>
      <c r="P63" s="83">
        <f t="shared" si="8"/>
        <v>1.1130499452056477E-7</v>
      </c>
      <c r="Q63" s="71"/>
    </row>
    <row r="64" spans="1:17">
      <c r="A64" s="81">
        <f t="shared" si="5"/>
        <v>2.8000000000000003</v>
      </c>
      <c r="B64" s="81">
        <f t="shared" si="6"/>
        <v>20</v>
      </c>
      <c r="C64" s="82">
        <f t="shared" si="0"/>
        <v>4.471937821497181</v>
      </c>
      <c r="D64" s="82">
        <f t="shared" si="1"/>
        <v>3.1619974508745181</v>
      </c>
      <c r="E64" s="83">
        <f t="shared" si="2"/>
        <v>0.15797337631219688</v>
      </c>
      <c r="F64" s="84">
        <f t="shared" si="10"/>
        <v>0.16595013043093632</v>
      </c>
      <c r="G64" s="84">
        <f t="shared" si="10"/>
        <v>0.15523952033723365</v>
      </c>
      <c r="H64" s="84">
        <f t="shared" si="10"/>
        <v>0.13228175839914802</v>
      </c>
      <c r="I64" s="84">
        <f t="shared" si="10"/>
        <v>0.10408210208633961</v>
      </c>
      <c r="J64" s="84">
        <f t="shared" si="10"/>
        <v>7.6331164367813287E-2</v>
      </c>
      <c r="K64" s="84">
        <f t="shared" si="10"/>
        <v>5.254874658255293E-2</v>
      </c>
      <c r="L64" s="84">
        <f t="shared" si="10"/>
        <v>3.4152916076483519E-2</v>
      </c>
      <c r="M64" s="92">
        <f t="shared" si="7"/>
        <v>0.10512000000000001</v>
      </c>
      <c r="N64" s="83">
        <f t="shared" si="9"/>
        <v>0.23819304431295868</v>
      </c>
      <c r="O64" s="92">
        <f t="shared" si="4"/>
        <v>0</v>
      </c>
      <c r="P64" s="83">
        <f t="shared" si="8"/>
        <v>1.0939731204219544E-8</v>
      </c>
      <c r="Q64" s="71"/>
    </row>
    <row r="65" spans="1:17">
      <c r="A65" s="81">
        <f t="shared" si="5"/>
        <v>3.0000000000000004</v>
      </c>
      <c r="B65" s="81">
        <f t="shared" si="6"/>
        <v>20</v>
      </c>
      <c r="C65" s="82">
        <f t="shared" si="0"/>
        <v>4.4719236687682393</v>
      </c>
      <c r="D65" s="82">
        <f t="shared" si="1"/>
        <v>3.1619774349747645</v>
      </c>
      <c r="E65" s="83">
        <f t="shared" si="2"/>
        <v>0.16169038994941309</v>
      </c>
      <c r="F65" s="84">
        <f t="shared" si="10"/>
        <v>0.16495034211295501</v>
      </c>
      <c r="G65" s="84">
        <f t="shared" si="10"/>
        <v>0.15081767923226796</v>
      </c>
      <c r="H65" s="84">
        <f t="shared" si="10"/>
        <v>0.12606962300652325</v>
      </c>
      <c r="I65" s="84">
        <f t="shared" si="10"/>
        <v>9.7542935055469515E-2</v>
      </c>
      <c r="J65" s="84">
        <f t="shared" si="10"/>
        <v>7.046991649752754E-2</v>
      </c>
      <c r="K65" s="84">
        <f t="shared" si="10"/>
        <v>4.7858186319936102E-2</v>
      </c>
      <c r="L65" s="84">
        <f t="shared" si="10"/>
        <v>3.0719281150519917E-2</v>
      </c>
      <c r="M65" s="92">
        <f t="shared" si="7"/>
        <v>0.10512000000000001</v>
      </c>
      <c r="N65" s="83">
        <f t="shared" si="9"/>
        <v>0.16788258394174846</v>
      </c>
      <c r="O65" s="92">
        <f t="shared" si="4"/>
        <v>0</v>
      </c>
      <c r="P65" s="83">
        <f t="shared" si="8"/>
        <v>9.1412983611740429E-10</v>
      </c>
      <c r="Q65" s="71"/>
    </row>
    <row r="66" spans="1:17">
      <c r="A66" s="81">
        <f t="shared" si="5"/>
        <v>3.2000000000000006</v>
      </c>
      <c r="B66" s="81">
        <f t="shared" si="6"/>
        <v>20</v>
      </c>
      <c r="C66" s="82">
        <f t="shared" si="0"/>
        <v>4.4719095159945077</v>
      </c>
      <c r="D66" s="82">
        <f t="shared" si="1"/>
        <v>3.1619574189483055</v>
      </c>
      <c r="E66" s="83">
        <f t="shared" si="2"/>
        <v>0.16425506634232234</v>
      </c>
      <c r="F66" s="84">
        <f t="shared" si="10"/>
        <v>0.16303359548366614</v>
      </c>
      <c r="G66" s="84">
        <f t="shared" si="10"/>
        <v>0.14584245285070652</v>
      </c>
      <c r="H66" s="84">
        <f t="shared" si="10"/>
        <v>0.11966752490644561</v>
      </c>
      <c r="I66" s="84">
        <f t="shared" si="10"/>
        <v>9.1089036989295602E-2</v>
      </c>
      <c r="J66" s="84">
        <f t="shared" si="10"/>
        <v>6.4849592552701729E-2</v>
      </c>
      <c r="K66" s="84">
        <f t="shared" si="10"/>
        <v>4.3458436194113048E-2</v>
      </c>
      <c r="L66" s="84">
        <f t="shared" si="10"/>
        <v>2.755615909667597E-2</v>
      </c>
      <c r="M66" s="92">
        <f t="shared" si="7"/>
        <v>0.10512000000000001</v>
      </c>
      <c r="N66" s="83">
        <f t="shared" si="9"/>
        <v>0.11229981187865434</v>
      </c>
      <c r="O66" s="92">
        <f t="shared" si="4"/>
        <v>0</v>
      </c>
      <c r="P66" s="83">
        <f t="shared" si="8"/>
        <v>6.4909012132801621E-11</v>
      </c>
      <c r="Q66" s="71"/>
    </row>
    <row r="67" spans="1:17">
      <c r="A67" s="81">
        <f t="shared" si="5"/>
        <v>3.4000000000000008</v>
      </c>
      <c r="B67" s="81">
        <f t="shared" si="6"/>
        <v>20</v>
      </c>
      <c r="C67" s="82">
        <f t="shared" si="0"/>
        <v>4.4718953631759844</v>
      </c>
      <c r="D67" s="82">
        <f t="shared" si="1"/>
        <v>3.161937402795139</v>
      </c>
      <c r="E67" s="83">
        <f t="shared" si="2"/>
        <v>0.16570287893846558</v>
      </c>
      <c r="F67" s="84">
        <f t="shared" si="10"/>
        <v>0.16027653463403513</v>
      </c>
      <c r="G67" s="84">
        <f t="shared" si="10"/>
        <v>0.14040087790356948</v>
      </c>
      <c r="H67" s="84">
        <f t="shared" si="10"/>
        <v>0.11314810594784852</v>
      </c>
      <c r="I67" s="84">
        <f t="shared" si="10"/>
        <v>8.4766558391284663E-2</v>
      </c>
      <c r="J67" s="84">
        <f t="shared" si="10"/>
        <v>5.9489798736100941E-2</v>
      </c>
      <c r="K67" s="84">
        <f t="shared" si="10"/>
        <v>3.9349629335150293E-2</v>
      </c>
      <c r="L67" s="84">
        <f t="shared" si="10"/>
        <v>2.4653062754171451E-2</v>
      </c>
      <c r="M67" s="92">
        <f t="shared" si="7"/>
        <v>0.10512000000000001</v>
      </c>
      <c r="N67" s="83">
        <f t="shared" si="9"/>
        <v>7.1270279554794827E-2</v>
      </c>
      <c r="O67" s="92">
        <f t="shared" si="4"/>
        <v>0</v>
      </c>
      <c r="P67" s="83">
        <f t="shared" si="8"/>
        <v>3.9148719044693051E-12</v>
      </c>
      <c r="Q67" s="71"/>
    </row>
    <row r="68" spans="1:17">
      <c r="A68" s="81">
        <f t="shared" si="5"/>
        <v>3.600000000000001</v>
      </c>
      <c r="B68" s="81">
        <f t="shared" si="6"/>
        <v>20</v>
      </c>
      <c r="C68" s="82">
        <f t="shared" si="0"/>
        <v>4.4718812103126702</v>
      </c>
      <c r="D68" s="82">
        <f t="shared" si="1"/>
        <v>3.1619173865152628</v>
      </c>
      <c r="E68" s="83">
        <f t="shared" si="2"/>
        <v>0.16608128188997728</v>
      </c>
      <c r="F68" s="84">
        <f t="shared" si="10"/>
        <v>0.15676085113421068</v>
      </c>
      <c r="G68" s="84">
        <f t="shared" si="10"/>
        <v>0.13457848166883712</v>
      </c>
      <c r="H68" s="84">
        <f t="shared" si="10"/>
        <v>0.10657853725873045</v>
      </c>
      <c r="I68" s="84">
        <f t="shared" si="10"/>
        <v>7.8615243976777549E-2</v>
      </c>
      <c r="J68" s="84">
        <f t="shared" si="10"/>
        <v>5.4404931317183047E-2</v>
      </c>
      <c r="K68" s="84">
        <f t="shared" si="10"/>
        <v>3.5528716004825878E-2</v>
      </c>
      <c r="L68" s="84">
        <f t="shared" si="10"/>
        <v>2.1998185584760632E-2</v>
      </c>
      <c r="M68" s="92">
        <f t="shared" si="7"/>
        <v>0.10512000000000001</v>
      </c>
      <c r="N68" s="83">
        <f t="shared" si="9"/>
        <v>4.2885046536380096E-2</v>
      </c>
      <c r="O68" s="92">
        <f t="shared" si="4"/>
        <v>0</v>
      </c>
      <c r="P68" s="83">
        <f t="shared" si="8"/>
        <v>2.0048960802775663E-13</v>
      </c>
      <c r="Q68" s="71"/>
    </row>
    <row r="69" spans="1:17">
      <c r="A69" s="81">
        <f t="shared" si="5"/>
        <v>3.8000000000000012</v>
      </c>
      <c r="B69" s="81">
        <f t="shared" si="6"/>
        <v>20</v>
      </c>
      <c r="C69" s="82">
        <f t="shared" si="0"/>
        <v>4.4718670574045634</v>
      </c>
      <c r="D69" s="82">
        <f t="shared" si="1"/>
        <v>3.1618973701086737</v>
      </c>
      <c r="E69" s="83">
        <f t="shared" si="2"/>
        <v>0.1654482633240062</v>
      </c>
      <c r="F69" s="84">
        <f t="shared" si="10"/>
        <v>0.15257164663823963</v>
      </c>
      <c r="G69" s="84">
        <f t="shared" si="10"/>
        <v>0.12845810493788368</v>
      </c>
      <c r="H69" s="84">
        <f t="shared" si="10"/>
        <v>0.10002005634187361</v>
      </c>
      <c r="I69" s="84">
        <f t="shared" si="10"/>
        <v>7.2668564743757935E-2</v>
      </c>
      <c r="J69" s="84">
        <f t="shared" si="10"/>
        <v>4.9604610183848541E-2</v>
      </c>
      <c r="K69" s="84">
        <f t="shared" si="10"/>
        <v>3.1989928421763292E-2</v>
      </c>
      <c r="L69" s="84">
        <f t="shared" si="10"/>
        <v>1.9578747073780045E-2</v>
      </c>
      <c r="M69" s="92">
        <f t="shared" si="7"/>
        <v>0.10512000000000001</v>
      </c>
      <c r="N69" s="83">
        <f t="shared" si="9"/>
        <v>2.4447500833857171E-2</v>
      </c>
      <c r="O69" s="92">
        <f t="shared" si="4"/>
        <v>0</v>
      </c>
      <c r="P69" s="83">
        <f t="shared" si="8"/>
        <v>8.7155762758738703E-15</v>
      </c>
      <c r="Q69" s="71"/>
    </row>
    <row r="70" spans="1:17">
      <c r="A70" s="81">
        <f t="shared" si="5"/>
        <v>4.0000000000000009</v>
      </c>
      <c r="B70" s="81">
        <f t="shared" si="6"/>
        <v>20</v>
      </c>
      <c r="C70" s="82">
        <f t="shared" si="0"/>
        <v>4.4718529044516648</v>
      </c>
      <c r="D70" s="82">
        <f t="shared" si="1"/>
        <v>3.1618773535753704</v>
      </c>
      <c r="E70" s="83">
        <f t="shared" si="2"/>
        <v>0.16387078410398437</v>
      </c>
      <c r="F70" s="84">
        <f t="shared" ref="F70:L79" si="11">IF(AND($C70&gt;0,$D70=0),0.5*EXP(-$C$12*$A70/$C$16)*(EXP(-($C$13*$A70/$C$16/$C$37+$C$39*F$49)*$C$38)*2*NORMSDIST(-(($C$13*$A70/$C$16/$C$37+$C$39*F$49)/(2*$C70)-$C$38*$C70)*SQRT(2))+EXP(($C$13*$A70/$C$16/$C$37+$C$39*F$49)*$C$38)*2*NORMSDIST(-(($C$13*$A70/$C$16/$C$37+$C$39*F$49)/(2*$C70)+$C$38*$C70)*SQRT(2)))*$C$9,IF($C70=0,0,0.5*EXP(-$C$12*$A70/$C$16)*((EXP(-($C$13*$A70/$C$16/$C$37+$C$39*F$49)*$C$38)*2*NORMSDIST(-(($C$13*$A70/$C$16/$C$37+$C$39*F$49)/(2*$C70)-$C$38*$C70)*SQRT(2))+EXP(($C$13*$A70/$C$16/$C$37+$C$39*F$49)*$C$38)*2*NORMSDIST(-(($C$13*$A70/$C$16/$C$37+$C$39*F$49)/(2*$C70)+$C$38*$C70)*SQRT(2)))-(EXP(-($C$13*$A70/$C$16/$C$37+$C$39*F$49)*$C$38)*2*NORMSDIST(-(($C$13*$A70/$C$16/$C$37+$C$39*F$49)/(2*$D70)-$C$38*$D70)*SQRT(2))+EXP(($C$13*$A70/$C$16/$C$37+$C$39*F$49)*$C$38)*2*NORMSDIST(-(($C$13*$A70/$C$16/$C$37+$C$39*F$49)/(2*$D70)+$C$38*$D70)*SQRT(2))))*$C$9))</f>
        <v>0.14779585542067375</v>
      </c>
      <c r="G70" s="84">
        <f t="shared" si="11"/>
        <v>0.12211888132248672</v>
      </c>
      <c r="H70" s="84">
        <f t="shared" si="11"/>
        <v>9.3527660503629928E-2</v>
      </c>
      <c r="I70" s="84">
        <f t="shared" si="11"/>
        <v>6.6953946505186712E-2</v>
      </c>
      <c r="J70" s="84">
        <f t="shared" si="11"/>
        <v>4.5094139741719719E-2</v>
      </c>
      <c r="K70" s="84">
        <f t="shared" si="11"/>
        <v>2.8725226832681638E-2</v>
      </c>
      <c r="L70" s="84">
        <f t="shared" si="11"/>
        <v>1.7381302729027048E-2</v>
      </c>
      <c r="M70" s="92">
        <f t="shared" si="7"/>
        <v>0.10512000000000001</v>
      </c>
      <c r="N70" s="83">
        <f t="shared" si="9"/>
        <v>1.3193609392274952E-2</v>
      </c>
      <c r="O70" s="92">
        <f t="shared" si="4"/>
        <v>0</v>
      </c>
      <c r="P70" s="83">
        <f t="shared" si="8"/>
        <v>3.2152627273870448E-16</v>
      </c>
      <c r="Q70" s="71"/>
    </row>
    <row r="71" spans="1:17">
      <c r="A71" s="81">
        <f t="shared" si="5"/>
        <v>4.2000000000000011</v>
      </c>
      <c r="B71" s="81">
        <f t="shared" si="6"/>
        <v>20</v>
      </c>
      <c r="C71" s="82">
        <f t="shared" si="0"/>
        <v>4.4718387514539728</v>
      </c>
      <c r="D71" s="82">
        <f t="shared" si="1"/>
        <v>3.1618573369153498</v>
      </c>
      <c r="E71" s="83">
        <f t="shared" si="2"/>
        <v>0.16142314519827416</v>
      </c>
      <c r="F71" s="84">
        <f t="shared" si="11"/>
        <v>0.14252075756136584</v>
      </c>
      <c r="G71" s="84">
        <f t="shared" si="11"/>
        <v>0.11563538071729584</v>
      </c>
      <c r="H71" s="84">
        <f t="shared" si="11"/>
        <v>8.7149946316068982E-2</v>
      </c>
      <c r="I71" s="84">
        <f t="shared" si="11"/>
        <v>6.149307832470341E-2</v>
      </c>
      <c r="J71" s="84">
        <f t="shared" si="11"/>
        <v>4.0874983998524295E-2</v>
      </c>
      <c r="K71" s="84">
        <f t="shared" si="11"/>
        <v>2.5724720619006103E-2</v>
      </c>
      <c r="L71" s="84">
        <f t="shared" si="11"/>
        <v>1.5392018164689159E-2</v>
      </c>
      <c r="M71" s="92">
        <f t="shared" si="7"/>
        <v>0.10512000000000001</v>
      </c>
      <c r="N71" s="83">
        <f t="shared" si="9"/>
        <v>6.7358688628715163E-3</v>
      </c>
      <c r="O71" s="92">
        <f t="shared" si="4"/>
        <v>0</v>
      </c>
      <c r="P71" s="83">
        <f t="shared" si="8"/>
        <v>1.0063616346648303E-17</v>
      </c>
      <c r="Q71" s="71"/>
    </row>
    <row r="72" spans="1:17">
      <c r="A72" s="81">
        <f t="shared" si="5"/>
        <v>4.4000000000000012</v>
      </c>
      <c r="B72" s="81">
        <f t="shared" si="6"/>
        <v>20</v>
      </c>
      <c r="C72" s="82">
        <f t="shared" si="0"/>
        <v>4.4718245984114882</v>
      </c>
      <c r="D72" s="82">
        <f t="shared" si="1"/>
        <v>3.1618373201286092</v>
      </c>
      <c r="E72" s="83">
        <f t="shared" si="2"/>
        <v>0.15818532573500321</v>
      </c>
      <c r="F72" s="84">
        <f t="shared" si="11"/>
        <v>0.13683260856401214</v>
      </c>
      <c r="G72" s="84">
        <f t="shared" si="11"/>
        <v>0.10907691973266154</v>
      </c>
      <c r="H72" s="84">
        <f t="shared" si="11"/>
        <v>8.0929082299281196E-2</v>
      </c>
      <c r="I72" s="84">
        <f t="shared" si="11"/>
        <v>5.6302284424638582E-2</v>
      </c>
      <c r="J72" s="84">
        <f t="shared" si="11"/>
        <v>3.6945244164385382E-2</v>
      </c>
      <c r="K72" s="84">
        <f t="shared" si="11"/>
        <v>2.2977059749574202E-2</v>
      </c>
      <c r="L72" s="84">
        <f t="shared" si="11"/>
        <v>1.3596907651674428E-2</v>
      </c>
      <c r="M72" s="92">
        <f t="shared" si="7"/>
        <v>0.10512000000000001</v>
      </c>
      <c r="N72" s="83">
        <f t="shared" si="9"/>
        <v>3.2513432601078197E-3</v>
      </c>
      <c r="O72" s="92">
        <f t="shared" si="4"/>
        <v>0</v>
      </c>
      <c r="P72" s="83">
        <f t="shared" si="8"/>
        <v>2.6719144575874592E-19</v>
      </c>
      <c r="Q72" s="71"/>
    </row>
    <row r="73" spans="1:17">
      <c r="A73" s="81">
        <f t="shared" si="5"/>
        <v>4.6000000000000014</v>
      </c>
      <c r="B73" s="81">
        <f t="shared" si="6"/>
        <v>20</v>
      </c>
      <c r="C73" s="82">
        <f t="shared" si="0"/>
        <v>4.4718104453242091</v>
      </c>
      <c r="D73" s="82">
        <f t="shared" si="1"/>
        <v>3.1618173032151473</v>
      </c>
      <c r="E73" s="83">
        <f t="shared" si="2"/>
        <v>0.15424133158569786</v>
      </c>
      <c r="F73" s="84">
        <f t="shared" si="11"/>
        <v>0.13081540592360108</v>
      </c>
      <c r="G73" s="84">
        <f t="shared" si="11"/>
        <v>0.10250703735937194</v>
      </c>
      <c r="H73" s="84">
        <f t="shared" si="11"/>
        <v>7.4900900160193906E-2</v>
      </c>
      <c r="I73" s="84">
        <f t="shared" si="11"/>
        <v>5.139294370882852E-2</v>
      </c>
      <c r="J73" s="84">
        <f t="shared" si="11"/>
        <v>3.3300128697356213E-2</v>
      </c>
      <c r="K73" s="84">
        <f t="shared" si="11"/>
        <v>2.0469793298238947E-2</v>
      </c>
      <c r="L73" s="84">
        <f t="shared" si="11"/>
        <v>1.198203824921884E-2</v>
      </c>
      <c r="M73" s="92">
        <f t="shared" si="7"/>
        <v>0.10512000000000001</v>
      </c>
      <c r="N73" s="83">
        <f t="shared" si="9"/>
        <v>1.4830183162523956E-3</v>
      </c>
      <c r="O73" s="92">
        <f t="shared" si="4"/>
        <v>0</v>
      </c>
      <c r="P73" s="83">
        <f t="shared" si="8"/>
        <v>6.0165293340531243E-21</v>
      </c>
      <c r="Q73" s="71"/>
    </row>
    <row r="74" spans="1:17">
      <c r="A74" s="81">
        <f t="shared" si="5"/>
        <v>4.8000000000000016</v>
      </c>
      <c r="B74" s="81">
        <f t="shared" si="6"/>
        <v>20</v>
      </c>
      <c r="C74" s="82">
        <f t="shared" si="0"/>
        <v>4.4717962921921366</v>
      </c>
      <c r="D74" s="82">
        <f t="shared" si="1"/>
        <v>3.1617972861749606</v>
      </c>
      <c r="E74" s="83">
        <f t="shared" si="2"/>
        <v>0.149677591050426</v>
      </c>
      <c r="F74" s="84">
        <f t="shared" si="11"/>
        <v>0.12454980775519564</v>
      </c>
      <c r="G74" s="84">
        <f t="shared" si="11"/>
        <v>9.5983130105513847E-2</v>
      </c>
      <c r="H74" s="84">
        <f t="shared" si="11"/>
        <v>6.9095088716364383E-2</v>
      </c>
      <c r="I74" s="84">
        <f t="shared" si="11"/>
        <v>4.6771941983779541E-2</v>
      </c>
      <c r="J74" s="84">
        <f t="shared" si="11"/>
        <v>2.9932407361600077E-2</v>
      </c>
      <c r="K74" s="84">
        <f t="shared" si="11"/>
        <v>1.8189693015272734E-2</v>
      </c>
      <c r="L74" s="84">
        <f t="shared" si="11"/>
        <v>1.0533701211999258E-2</v>
      </c>
      <c r="M74" s="92">
        <f t="shared" si="7"/>
        <v>0.10512000000000001</v>
      </c>
      <c r="N74" s="83">
        <f t="shared" si="9"/>
        <v>6.3892915095727608E-4</v>
      </c>
      <c r="O74" s="92">
        <f t="shared" si="4"/>
        <v>0</v>
      </c>
      <c r="P74" s="83">
        <f t="shared" si="8"/>
        <v>1.1488347954121904E-22</v>
      </c>
      <c r="Q74" s="71"/>
    </row>
    <row r="75" spans="1:17">
      <c r="A75" s="81">
        <f t="shared" si="5"/>
        <v>5.0000000000000018</v>
      </c>
      <c r="B75" s="81">
        <f t="shared" si="6"/>
        <v>20</v>
      </c>
      <c r="C75" s="82">
        <f t="shared" si="0"/>
        <v>4.4717821390152706</v>
      </c>
      <c r="D75" s="82">
        <f t="shared" si="1"/>
        <v>3.1617772690080472</v>
      </c>
      <c r="E75" s="83">
        <f t="shared" si="2"/>
        <v>0.14458143010488844</v>
      </c>
      <c r="F75" s="84">
        <f t="shared" si="11"/>
        <v>0.11811221325450338</v>
      </c>
      <c r="G75" s="84">
        <f t="shared" si="11"/>
        <v>8.955623743033847E-2</v>
      </c>
      <c r="H75" s="84">
        <f t="shared" si="11"/>
        <v>6.3535474027243133E-2</v>
      </c>
      <c r="I75" s="84">
        <f t="shared" si="11"/>
        <v>4.2442143189532766E-2</v>
      </c>
      <c r="J75" s="84">
        <f t="shared" si="11"/>
        <v>2.6832842486683717E-2</v>
      </c>
      <c r="K75" s="84">
        <f t="shared" si="11"/>
        <v>1.6123041058453857E-2</v>
      </c>
      <c r="L75" s="84">
        <f t="shared" si="11"/>
        <v>9.2385528024894192E-3</v>
      </c>
      <c r="M75" s="92">
        <f t="shared" si="7"/>
        <v>0.10512000000000001</v>
      </c>
      <c r="N75" s="83">
        <f t="shared" si="9"/>
        <v>2.5990655586906542E-4</v>
      </c>
      <c r="O75" s="92">
        <f t="shared" si="4"/>
        <v>0</v>
      </c>
      <c r="P75" s="83">
        <f t="shared" si="8"/>
        <v>1.8599351718597377E-24</v>
      </c>
      <c r="Q75" s="71"/>
    </row>
    <row r="76" spans="1:17">
      <c r="A76" s="81">
        <f t="shared" si="5"/>
        <v>5.200000000000002</v>
      </c>
      <c r="B76" s="81">
        <f t="shared" si="6"/>
        <v>20</v>
      </c>
      <c r="C76" s="82">
        <f t="shared" si="0"/>
        <v>4.4717679857936083</v>
      </c>
      <c r="D76" s="82">
        <f t="shared" si="1"/>
        <v>3.1617572517144046</v>
      </c>
      <c r="E76" s="83">
        <f t="shared" si="2"/>
        <v>0.13903965492295578</v>
      </c>
      <c r="F76" s="84">
        <f t="shared" si="11"/>
        <v>0.11157400965151387</v>
      </c>
      <c r="G76" s="84">
        <f t="shared" si="11"/>
        <v>8.3270965534415708E-2</v>
      </c>
      <c r="H76" s="84">
        <f t="shared" si="11"/>
        <v>5.8240369193820918E-2</v>
      </c>
      <c r="I76" s="84">
        <f t="shared" si="11"/>
        <v>3.8402867386578832E-2</v>
      </c>
      <c r="J76" s="84">
        <f t="shared" si="11"/>
        <v>2.3990592172935754E-2</v>
      </c>
      <c r="K76" s="84">
        <f t="shared" si="11"/>
        <v>1.4255881945551829E-2</v>
      </c>
      <c r="L76" s="84">
        <f t="shared" si="11"/>
        <v>8.0837269434859138E-3</v>
      </c>
      <c r="M76" s="92">
        <f t="shared" si="7"/>
        <v>0.10512000000000001</v>
      </c>
      <c r="N76" s="83">
        <f t="shared" si="9"/>
        <v>9.9792822009631867E-5</v>
      </c>
      <c r="O76" s="92">
        <f t="shared" si="4"/>
        <v>0</v>
      </c>
      <c r="P76" s="83">
        <f t="shared" si="8"/>
        <v>2.5527826991408096E-26</v>
      </c>
      <c r="Q76" s="71"/>
    </row>
    <row r="77" spans="1:17">
      <c r="A77" s="81">
        <f t="shared" si="5"/>
        <v>5.4000000000000021</v>
      </c>
      <c r="B77" s="81">
        <f t="shared" si="6"/>
        <v>20</v>
      </c>
      <c r="C77" s="82">
        <f t="shared" si="0"/>
        <v>4.4717538325271509</v>
      </c>
      <c r="D77" s="82">
        <f t="shared" si="1"/>
        <v>3.1617372342940304</v>
      </c>
      <c r="E77" s="83">
        <f t="shared" si="2"/>
        <v>0.13313726422045402</v>
      </c>
      <c r="F77" s="84">
        <f t="shared" si="11"/>
        <v>0.10500098558821502</v>
      </c>
      <c r="G77" s="84">
        <f t="shared" si="11"/>
        <v>7.7165535464098323E-2</v>
      </c>
      <c r="H77" s="84">
        <f t="shared" si="11"/>
        <v>5.3222977700979612E-2</v>
      </c>
      <c r="I77" s="84">
        <f t="shared" si="11"/>
        <v>3.4650364812258694E-2</v>
      </c>
      <c r="J77" s="84">
        <f t="shared" si="11"/>
        <v>2.1393581642582316E-2</v>
      </c>
      <c r="K77" s="84">
        <f t="shared" si="11"/>
        <v>1.2574239583968527E-2</v>
      </c>
      <c r="L77" s="84">
        <f t="shared" si="11"/>
        <v>7.0569223352063837E-3</v>
      </c>
      <c r="M77" s="92">
        <f t="shared" si="7"/>
        <v>0.10512000000000001</v>
      </c>
      <c r="N77" s="83">
        <f t="shared" si="9"/>
        <v>3.6155769725797134E-5</v>
      </c>
      <c r="O77" s="92">
        <f t="shared" si="4"/>
        <v>0</v>
      </c>
      <c r="P77" s="83">
        <f t="shared" si="8"/>
        <v>2.9700135600147092E-28</v>
      </c>
      <c r="Q77" s="71"/>
    </row>
    <row r="78" spans="1:17">
      <c r="A78" s="81">
        <f t="shared" si="5"/>
        <v>5.6000000000000023</v>
      </c>
      <c r="B78" s="81">
        <f t="shared" si="6"/>
        <v>20</v>
      </c>
      <c r="C78" s="82">
        <f t="shared" si="0"/>
        <v>4.4717396792158981</v>
      </c>
      <c r="D78" s="82">
        <f t="shared" si="1"/>
        <v>3.1617172167469221</v>
      </c>
      <c r="E78" s="83">
        <f t="shared" si="2"/>
        <v>0.12695630858863716</v>
      </c>
      <c r="F78" s="84">
        <f t="shared" si="11"/>
        <v>9.8452906616904645E-2</v>
      </c>
      <c r="G78" s="84">
        <f t="shared" si="11"/>
        <v>7.1271940040291692E-2</v>
      </c>
      <c r="H78" s="84">
        <f t="shared" si="11"/>
        <v>4.8491834988325655E-2</v>
      </c>
      <c r="I78" s="84">
        <f t="shared" si="11"/>
        <v>3.117827695072517E-2</v>
      </c>
      <c r="J78" s="84">
        <f t="shared" si="11"/>
        <v>1.9028840261257951E-2</v>
      </c>
      <c r="K78" s="84">
        <f t="shared" si="11"/>
        <v>1.1064300870132993E-2</v>
      </c>
      <c r="L78" s="84">
        <f t="shared" si="11"/>
        <v>6.1464667516153426E-3</v>
      </c>
      <c r="M78" s="92">
        <f t="shared" si="7"/>
        <v>0.10512000000000001</v>
      </c>
      <c r="N78" s="83">
        <f t="shared" si="9"/>
        <v>1.2357970896318691E-5</v>
      </c>
      <c r="O78" s="92">
        <f t="shared" si="4"/>
        <v>0</v>
      </c>
      <c r="P78" s="83">
        <f t="shared" si="8"/>
        <v>2.9287960823008898E-30</v>
      </c>
      <c r="Q78" s="71"/>
    </row>
    <row r="79" spans="1:17">
      <c r="A79" s="81">
        <f t="shared" si="5"/>
        <v>5.8000000000000025</v>
      </c>
      <c r="B79" s="81">
        <f t="shared" si="6"/>
        <v>20</v>
      </c>
      <c r="C79" s="82">
        <f t="shared" si="0"/>
        <v>4.4717255258598492</v>
      </c>
      <c r="D79" s="82">
        <f t="shared" si="1"/>
        <v>3.1616971990730773</v>
      </c>
      <c r="E79" s="83">
        <f t="shared" si="2"/>
        <v>0.12057490859801945</v>
      </c>
      <c r="F79" s="84">
        <f t="shared" si="11"/>
        <v>9.1983244862916091E-2</v>
      </c>
      <c r="G79" s="84">
        <f t="shared" si="11"/>
        <v>6.5616193293100089E-2</v>
      </c>
      <c r="H79" s="84">
        <f t="shared" si="11"/>
        <v>4.4051274064133006E-2</v>
      </c>
      <c r="I79" s="84">
        <f t="shared" si="11"/>
        <v>2.7978077194475537E-2</v>
      </c>
      <c r="J79" s="84">
        <f t="shared" si="11"/>
        <v>1.688280293106259E-2</v>
      </c>
      <c r="K79" s="84">
        <f t="shared" si="11"/>
        <v>9.7125678399376802E-3</v>
      </c>
      <c r="L79" s="84">
        <f t="shared" si="11"/>
        <v>5.3413612372419372E-3</v>
      </c>
      <c r="M79" s="92">
        <f t="shared" si="7"/>
        <v>0.10512000000000001</v>
      </c>
      <c r="N79" s="83">
        <f t="shared" si="9"/>
        <v>3.9839755769774259E-6</v>
      </c>
      <c r="O79" s="92">
        <f t="shared" si="4"/>
        <v>0</v>
      </c>
      <c r="P79" s="83">
        <f t="shared" si="8"/>
        <v>2.4477538655813285E-32</v>
      </c>
      <c r="Q79" s="71"/>
    </row>
    <row r="80" spans="1:17">
      <c r="A80" s="81">
        <f t="shared" si="5"/>
        <v>6.0000000000000027</v>
      </c>
      <c r="B80" s="81">
        <f t="shared" si="6"/>
        <v>20</v>
      </c>
      <c r="C80" s="82">
        <f t="shared" si="0"/>
        <v>4.4717113724590032</v>
      </c>
      <c r="D80" s="82">
        <f t="shared" si="1"/>
        <v>3.161677181272494</v>
      </c>
      <c r="E80" s="83">
        <f t="shared" si="2"/>
        <v>0.11406643823589802</v>
      </c>
      <c r="F80" s="84">
        <f t="shared" ref="F80:L89" si="12">IF(AND($C80&gt;0,$D80=0),0.5*EXP(-$C$12*$A80/$C$16)*(EXP(-($C$13*$A80/$C$16/$C$37+$C$39*F$49)*$C$38)*2*NORMSDIST(-(($C$13*$A80/$C$16/$C$37+$C$39*F$49)/(2*$C80)-$C$38*$C80)*SQRT(2))+EXP(($C$13*$A80/$C$16/$C$37+$C$39*F$49)*$C$38)*2*NORMSDIST(-(($C$13*$A80/$C$16/$C$37+$C$39*F$49)/(2*$C80)+$C$38*$C80)*SQRT(2)))*$C$9,IF($C80=0,0,0.5*EXP(-$C$12*$A80/$C$16)*((EXP(-($C$13*$A80/$C$16/$C$37+$C$39*F$49)*$C$38)*2*NORMSDIST(-(($C$13*$A80/$C$16/$C$37+$C$39*F$49)/(2*$C80)-$C$38*$C80)*SQRT(2))+EXP(($C$13*$A80/$C$16/$C$37+$C$39*F$49)*$C$38)*2*NORMSDIST(-(($C$13*$A80/$C$16/$C$37+$C$39*F$49)/(2*$C80)+$C$38*$C80)*SQRT(2)))-(EXP(-($C$13*$A80/$C$16/$C$37+$C$39*F$49)*$C$38)*2*NORMSDIST(-(($C$13*$A80/$C$16/$C$37+$C$39*F$49)/(2*$D80)-$C$38*$D80)*SQRT(2))+EXP(($C$13*$A80/$C$16/$C$37+$C$39*F$49)*$C$38)*2*NORMSDIST(-(($C$13*$A80/$C$16/$C$37+$C$39*F$49)/(2*$D80)+$C$38*$D80)*SQRT(2))))*$C$9))</f>
        <v>8.563905187964127E-2</v>
      </c>
      <c r="G80" s="84">
        <f t="shared" si="12"/>
        <v>6.021865582352337E-2</v>
      </c>
      <c r="H80" s="84">
        <f t="shared" si="12"/>
        <v>3.9901902342917683E-2</v>
      </c>
      <c r="I80" s="84">
        <f t="shared" si="12"/>
        <v>2.5039485261713734E-2</v>
      </c>
      <c r="J80" s="84">
        <f t="shared" si="12"/>
        <v>1.4941575573840682E-2</v>
      </c>
      <c r="K80" s="84">
        <f t="shared" si="12"/>
        <v>8.5059807042868751E-3</v>
      </c>
      <c r="L80" s="84">
        <f t="shared" si="12"/>
        <v>4.6313068649013189E-3</v>
      </c>
      <c r="M80" s="92">
        <f t="shared" si="7"/>
        <v>0.10512000000000001</v>
      </c>
      <c r="N80" s="83">
        <f t="shared" si="9"/>
        <v>1.2111735627683599E-6</v>
      </c>
      <c r="O80" s="92">
        <f t="shared" si="4"/>
        <v>0</v>
      </c>
      <c r="P80" s="83">
        <f t="shared" si="8"/>
        <v>1.7336432457176281E-34</v>
      </c>
      <c r="Q80" s="71"/>
    </row>
    <row r="81" spans="1:17">
      <c r="A81" s="81">
        <f t="shared" si="5"/>
        <v>6.2000000000000028</v>
      </c>
      <c r="B81" s="81">
        <f t="shared" si="6"/>
        <v>20</v>
      </c>
      <c r="C81" s="82">
        <f t="shared" si="0"/>
        <v>4.4716972190133601</v>
      </c>
      <c r="D81" s="82">
        <f t="shared" si="1"/>
        <v>3.1616571633451693</v>
      </c>
      <c r="E81" s="83">
        <f t="shared" si="2"/>
        <v>0.10749887535040981</v>
      </c>
      <c r="F81" s="84">
        <f t="shared" si="12"/>
        <v>7.9460961370059868E-2</v>
      </c>
      <c r="G81" s="84">
        <f t="shared" si="12"/>
        <v>5.5094419755526536E-2</v>
      </c>
      <c r="H81" s="84">
        <f t="shared" si="12"/>
        <v>3.6041078412996752E-2</v>
      </c>
      <c r="I81" s="84">
        <f t="shared" si="12"/>
        <v>2.2350851031181396E-2</v>
      </c>
      <c r="J81" s="84">
        <f t="shared" si="12"/>
        <v>1.3191165278652273E-2</v>
      </c>
      <c r="K81" s="84">
        <f t="shared" si="12"/>
        <v>7.4320143355768309E-3</v>
      </c>
      <c r="L81" s="84">
        <f t="shared" si="12"/>
        <v>4.0067166003074917E-3</v>
      </c>
      <c r="M81" s="92">
        <f t="shared" si="7"/>
        <v>0.10512000000000001</v>
      </c>
      <c r="N81" s="83">
        <f t="shared" si="9"/>
        <v>3.4717322884652527E-7</v>
      </c>
      <c r="O81" s="92">
        <f t="shared" si="4"/>
        <v>0</v>
      </c>
      <c r="P81" s="83">
        <f t="shared" si="8"/>
        <v>1.0404801339497357E-36</v>
      </c>
      <c r="Q81" s="71"/>
    </row>
    <row r="82" spans="1:17">
      <c r="A82" s="81">
        <f t="shared" si="5"/>
        <v>6.400000000000003</v>
      </c>
      <c r="B82" s="81">
        <f t="shared" si="6"/>
        <v>20</v>
      </c>
      <c r="C82" s="82">
        <f t="shared" ref="C82:C113" si="13">IF((B82-$C$13/$C$16*A82)&gt;0,SQRT(B82-$C$13/$C$16*A82),0)</f>
        <v>4.4716830655229201</v>
      </c>
      <c r="D82" s="82">
        <f t="shared" ref="D82:D113" si="14">IF((B82-($C$13/$C$16*$A82+$C$19))&gt;0,SQRT(B82-($C$13/$C$16*$A82+$C$19)),0)</f>
        <v>3.1616371452911007</v>
      </c>
      <c r="E82" s="83">
        <f t="shared" ref="E82:E113" si="15">IF(AND($C82&gt;0,$D82=0),0.5*EXP(-$C$12*$A82/$C$16)*(EXP(-$C$13*$A82/$C$16*$C$38/$C$37)*2*NORMSDIST(-($C$13*$A82/$C$16/(2*$C$37*$C82)-$C$38*$C82)*SQRT(2))+EXP($C$13*$A82/$C$16*$C$38/$C$37)*2*NORMSDIST(-($C$13*$A82/$C$16/(2*$C$37*$C82)+$C$38*$C82)*SQRT(2)))*$C$9,IF($D82&gt;0,0.5*EXP(-$C$12*$A82/$C$16)*((EXP(-$C$13*$A82/$C$16*$C$38/$C$37)*2*NORMSDIST(-($C$13*$A82/$C$16/(2*$C$37*$C82)-$C$38*$C82)*SQRT(2))+EXP($C$13*$A82/$C$16*$C$38/$C$37)*2*NORMSDIST(-($C$13*$A82/$C$16/(2*$C$37*$C82)+$C$38*$C82)*SQRT(2)))-(EXP(-$C$13*$A82/$C$16*$C$38/$C$37)*2*NORMSDIST(-($C$13*$A82/$C$16/(2*$C$37*$D82)-$C$38*$D82)*SQRT(2))+EXP($C$13*$A82/$C$16*$C$38/$C$37)*2*NORMSDIST(-($C$13*$A82/$C$16/(2*$C$37*$D82)+$C$38*$D82)*SQRT(2))))*$C$9,0))</f>
        <v>0.10093431633865535</v>
      </c>
      <c r="F82" s="84">
        <f t="shared" si="12"/>
        <v>7.3483306755687483E-2</v>
      </c>
      <c r="G82" s="84">
        <f t="shared" si="12"/>
        <v>5.0253737611884564E-2</v>
      </c>
      <c r="H82" s="84">
        <f t="shared" si="12"/>
        <v>3.2463379054846531E-2</v>
      </c>
      <c r="I82" s="84">
        <f t="shared" si="12"/>
        <v>1.9899504833180481E-2</v>
      </c>
      <c r="J82" s="84">
        <f t="shared" si="12"/>
        <v>1.1617676382960296E-2</v>
      </c>
      <c r="K82" s="84">
        <f t="shared" si="12"/>
        <v>6.4787508965962193E-3</v>
      </c>
      <c r="L82" s="84">
        <f t="shared" si="12"/>
        <v>3.4587146663129786E-3</v>
      </c>
      <c r="M82" s="92">
        <f t="shared" si="7"/>
        <v>0.10512000000000001</v>
      </c>
      <c r="N82" s="83">
        <f t="shared" si="9"/>
        <v>9.3815498379612774E-8</v>
      </c>
      <c r="O82" s="92">
        <f t="shared" ref="O82:O113" si="16">SQRT(4*$C$12*$C$11)</f>
        <v>0</v>
      </c>
      <c r="P82" s="83">
        <f t="shared" si="8"/>
        <v>5.291288801542319E-39</v>
      </c>
      <c r="Q82" s="71"/>
    </row>
    <row r="83" spans="1:17">
      <c r="A83" s="81">
        <f t="shared" ref="A83:A114" si="17">IF(ISBLANK($C$45),A82+$C$43,$C$45)</f>
        <v>6.6000000000000032</v>
      </c>
      <c r="B83" s="81">
        <f t="shared" ref="B83:B114" si="18">IF(ISBLANK($C$44),B82+$C$42,$C$44)</f>
        <v>20</v>
      </c>
      <c r="C83" s="82">
        <f t="shared" si="13"/>
        <v>4.471668911987682</v>
      </c>
      <c r="D83" s="82">
        <f t="shared" si="14"/>
        <v>3.1616171271102864</v>
      </c>
      <c r="E83" s="83">
        <f t="shared" si="15"/>
        <v>9.4428648434054185E-2</v>
      </c>
      <c r="F83" s="84">
        <f t="shared" si="12"/>
        <v>6.7734337515493293E-2</v>
      </c>
      <c r="G83" s="84">
        <f t="shared" si="12"/>
        <v>4.570248046553127E-2</v>
      </c>
      <c r="H83" s="84">
        <f t="shared" si="12"/>
        <v>2.9161048470643269E-2</v>
      </c>
      <c r="I83" s="84">
        <f t="shared" si="12"/>
        <v>1.767207247021263E-2</v>
      </c>
      <c r="J83" s="84">
        <f t="shared" si="12"/>
        <v>1.0207474300800268E-2</v>
      </c>
      <c r="K83" s="84">
        <f t="shared" si="12"/>
        <v>5.6349313399537415E-3</v>
      </c>
      <c r="L83" s="84">
        <f t="shared" si="12"/>
        <v>2.9791256178048897E-3</v>
      </c>
      <c r="M83" s="92">
        <f t="shared" si="7"/>
        <v>0.10512000000000001</v>
      </c>
      <c r="N83" s="83">
        <f t="shared" si="9"/>
        <v>2.3896640163351508E-8</v>
      </c>
      <c r="O83" s="92">
        <f t="shared" si="16"/>
        <v>0</v>
      </c>
      <c r="P83" s="83">
        <f t="shared" ref="P83:P114" si="19">IF($B83&lt;=$C$19,$C$9/2*(EXP((-$O83)*$A83/(2*($C$11)))*2*NORMSDIST(-(($C$14*$A83-$O83*$B83)/(2*SQRT(($C$11)*$C$14*$B83)))*SQRT(2))+EXP(($O83)*$A83/(2*($C$11)))*2*NORMSDIST(-(($C$14*$A83+$O83*$B83)/(2*SQRT(($C$11)*$C$14*$B83)))*SQRT(2))),$C$9/2*(EXP((-$O83)*$A83/(2*($C$11)))*2*NORMSDIST(-(($C$14*$A83-$O83*$B83)/(2*SQRT(($C$11)*$C$14*$B83)))*SQRT(2))+EXP(($O83)*$A83/(2*($C$11)))*2*NORMSDIST(-(($C$14*$A83+$O83*$B83)/(2*SQRT(($C$11)*$C$14*$B83)))*SQRT(2))-EXP((-$O83)*$A83/(2*($C$11)))*2*NORMSDIST(-(($C$14*$A83-$O83*($B83-$C$19))/(2*SQRT(($C$11)*$C$14*($B83-$C$19))))*SQRT(2))-EXP(($O83)*$A83/(2*($C$11)))*2*NORMSDIST(-(($C$14*$A83+$O83*($B83-$C$19))/(2*SQRT(($C$11)*$C$14*($B83-$C$19))))*SQRT(2))))</f>
        <v>2.2799052758383861E-41</v>
      </c>
      <c r="Q83" s="71"/>
    </row>
    <row r="84" spans="1:17">
      <c r="A84" s="81">
        <f t="shared" si="17"/>
        <v>6.8000000000000034</v>
      </c>
      <c r="B84" s="81">
        <f t="shared" si="18"/>
        <v>20</v>
      </c>
      <c r="C84" s="82">
        <f t="shared" si="13"/>
        <v>4.471654758407646</v>
      </c>
      <c r="D84" s="82">
        <f t="shared" si="14"/>
        <v>3.1615971088027237</v>
      </c>
      <c r="E84" s="83">
        <f t="shared" si="15"/>
        <v>8.8031369685404259E-2</v>
      </c>
      <c r="F84" s="84">
        <f t="shared" si="12"/>
        <v>6.2236517748551323E-2</v>
      </c>
      <c r="G84" s="84">
        <f t="shared" si="12"/>
        <v>4.1442612003792068E-2</v>
      </c>
      <c r="H84" s="84">
        <f t="shared" si="12"/>
        <v>2.6124423295402988E-2</v>
      </c>
      <c r="I84" s="84">
        <f t="shared" si="12"/>
        <v>1.565475431930774E-2</v>
      </c>
      <c r="J84" s="84">
        <f t="shared" si="12"/>
        <v>8.9473193138478457E-3</v>
      </c>
      <c r="K84" s="84">
        <f t="shared" si="12"/>
        <v>4.8899884689628248E-3</v>
      </c>
      <c r="L84" s="84">
        <f t="shared" si="12"/>
        <v>2.5604551397178099E-3</v>
      </c>
      <c r="M84" s="92">
        <f t="shared" si="7"/>
        <v>0.10512000000000001</v>
      </c>
      <c r="N84" s="83">
        <f t="shared" si="9"/>
        <v>5.7369951092234613E-9</v>
      </c>
      <c r="O84" s="92">
        <f t="shared" si="16"/>
        <v>0</v>
      </c>
      <c r="P84" s="83">
        <f t="shared" si="19"/>
        <v>8.322926945653215E-44</v>
      </c>
      <c r="Q84" s="71"/>
    </row>
    <row r="85" spans="1:17">
      <c r="A85" s="81">
        <f t="shared" si="17"/>
        <v>7.0000000000000036</v>
      </c>
      <c r="B85" s="81">
        <f t="shared" si="18"/>
        <v>20</v>
      </c>
      <c r="C85" s="82">
        <f t="shared" si="13"/>
        <v>4.4716406047828103</v>
      </c>
      <c r="D85" s="82">
        <f t="shared" si="14"/>
        <v>3.1615770903684095</v>
      </c>
      <c r="E85" s="83">
        <f t="shared" si="15"/>
        <v>8.1785544113552211E-2</v>
      </c>
      <c r="F85" s="84">
        <f t="shared" si="12"/>
        <v>5.7006890474172511E-2</v>
      </c>
      <c r="G85" s="84">
        <f t="shared" si="12"/>
        <v>3.7472666617125006E-2</v>
      </c>
      <c r="H85" s="84">
        <f t="shared" si="12"/>
        <v>2.3342328495734588E-2</v>
      </c>
      <c r="I85" s="84">
        <f t="shared" si="12"/>
        <v>1.3833568785212691E-2</v>
      </c>
      <c r="J85" s="84">
        <f t="shared" si="12"/>
        <v>7.8244728171465994E-3</v>
      </c>
      <c r="K85" s="84">
        <f t="shared" si="12"/>
        <v>4.234064155008932E-3</v>
      </c>
      <c r="L85" s="84">
        <f t="shared" si="12"/>
        <v>2.1958643740298545E-3</v>
      </c>
      <c r="M85" s="92">
        <f t="shared" si="7"/>
        <v>0.10512000000000001</v>
      </c>
      <c r="N85" s="83">
        <f t="shared" si="9"/>
        <v>1.2979986229718187E-9</v>
      </c>
      <c r="O85" s="92">
        <f t="shared" si="16"/>
        <v>0</v>
      </c>
      <c r="P85" s="83">
        <f t="shared" si="19"/>
        <v>2.5740534649585965E-46</v>
      </c>
      <c r="Q85" s="71"/>
    </row>
    <row r="86" spans="1:17">
      <c r="A86" s="81">
        <f t="shared" si="17"/>
        <v>7.2000000000000037</v>
      </c>
      <c r="B86" s="81">
        <f t="shared" si="18"/>
        <v>20</v>
      </c>
      <c r="C86" s="82">
        <f t="shared" si="13"/>
        <v>4.4716264511131758</v>
      </c>
      <c r="D86" s="82">
        <f t="shared" si="14"/>
        <v>3.1615570718073425</v>
      </c>
      <c r="E86" s="83">
        <f t="shared" si="15"/>
        <v>7.5727877589237824E-2</v>
      </c>
      <c r="F86" s="84">
        <f t="shared" si="12"/>
        <v>5.2057491700500336E-2</v>
      </c>
      <c r="G86" s="84">
        <f t="shared" si="12"/>
        <v>3.3788221213219449E-2</v>
      </c>
      <c r="H86" s="84">
        <f t="shared" si="12"/>
        <v>2.080244068828363E-2</v>
      </c>
      <c r="I86" s="84">
        <f t="shared" si="12"/>
        <v>1.2194561128922476E-2</v>
      </c>
      <c r="J86" s="84">
        <f t="shared" si="12"/>
        <v>6.826778675330214E-3</v>
      </c>
      <c r="K86" s="84">
        <f t="shared" si="12"/>
        <v>3.6580131666832383E-3</v>
      </c>
      <c r="L86" s="84">
        <f t="shared" si="12"/>
        <v>1.8791393719737037E-3</v>
      </c>
      <c r="M86" s="92">
        <f t="shared" si="7"/>
        <v>0.10512000000000001</v>
      </c>
      <c r="N86" s="83">
        <f t="shared" si="9"/>
        <v>2.7673709254821878E-10</v>
      </c>
      <c r="O86" s="92">
        <f t="shared" si="16"/>
        <v>0</v>
      </c>
      <c r="P86" s="83">
        <f t="shared" si="19"/>
        <v>6.7440576522383374E-49</v>
      </c>
      <c r="Q86" s="71"/>
    </row>
    <row r="87" spans="1:17">
      <c r="A87" s="81">
        <f t="shared" si="17"/>
        <v>7.4000000000000039</v>
      </c>
      <c r="B87" s="81">
        <f t="shared" si="18"/>
        <v>20</v>
      </c>
      <c r="C87" s="82">
        <f t="shared" si="13"/>
        <v>4.4716122973987424</v>
      </c>
      <c r="D87" s="82">
        <f t="shared" si="14"/>
        <v>3.1615370531195199</v>
      </c>
      <c r="E87" s="83">
        <f t="shared" si="15"/>
        <v>6.9888898680661171E-2</v>
      </c>
      <c r="F87" s="84">
        <f t="shared" si="12"/>
        <v>4.7395799188558296E-2</v>
      </c>
      <c r="G87" s="84">
        <f t="shared" si="12"/>
        <v>3.0382352094551424E-2</v>
      </c>
      <c r="H87" s="84">
        <f t="shared" si="12"/>
        <v>1.8491616700875291E-2</v>
      </c>
      <c r="I87" s="84">
        <f t="shared" si="12"/>
        <v>1.0723979296499708E-2</v>
      </c>
      <c r="J87" s="84">
        <f t="shared" si="12"/>
        <v>5.94272241342364E-3</v>
      </c>
      <c r="K87" s="84">
        <f t="shared" si="12"/>
        <v>3.1533958930343164E-3</v>
      </c>
      <c r="L87" s="84">
        <f t="shared" si="12"/>
        <v>1.6046570648202696E-3</v>
      </c>
      <c r="M87" s="92">
        <f t="shared" si="7"/>
        <v>0.10512000000000001</v>
      </c>
      <c r="N87" s="83">
        <f t="shared" si="9"/>
        <v>5.5594153611798632E-11</v>
      </c>
      <c r="O87" s="92">
        <f t="shared" si="16"/>
        <v>0</v>
      </c>
      <c r="P87" s="83">
        <f t="shared" si="19"/>
        <v>1.4968174169553446E-51</v>
      </c>
      <c r="Q87" s="71"/>
    </row>
    <row r="88" spans="1:17">
      <c r="A88" s="81">
        <f t="shared" si="17"/>
        <v>7.6000000000000041</v>
      </c>
      <c r="B88" s="81">
        <f t="shared" si="18"/>
        <v>20</v>
      </c>
      <c r="C88" s="82">
        <f t="shared" si="13"/>
        <v>4.4715981436395085</v>
      </c>
      <c r="D88" s="82">
        <f t="shared" si="14"/>
        <v>3.1615170343049392</v>
      </c>
      <c r="E88" s="83">
        <f t="shared" si="15"/>
        <v>6.4293228033256433E-2</v>
      </c>
      <c r="F88" s="84">
        <f t="shared" si="12"/>
        <v>4.3025202032785703E-2</v>
      </c>
      <c r="G88" s="84">
        <f t="shared" si="12"/>
        <v>2.7246069864961919E-2</v>
      </c>
      <c r="H88" s="84">
        <f t="shared" si="12"/>
        <v>1.6396186338529795E-2</v>
      </c>
      <c r="I88" s="84">
        <f t="shared" si="12"/>
        <v>9.4084188276666314E-3</v>
      </c>
      <c r="J88" s="84">
        <f t="shared" si="12"/>
        <v>5.1614709555143357E-3</v>
      </c>
      <c r="K88" s="84">
        <f t="shared" si="12"/>
        <v>2.7124620509371145E-3</v>
      </c>
      <c r="L88" s="84">
        <f t="shared" si="12"/>
        <v>1.3673489513552628E-3</v>
      </c>
      <c r="M88" s="92">
        <f t="shared" si="7"/>
        <v>0.10512000000000001</v>
      </c>
      <c r="N88" s="83">
        <f t="shared" si="9"/>
        <v>1.0522722898662486E-11</v>
      </c>
      <c r="O88" s="92">
        <f t="shared" si="16"/>
        <v>0</v>
      </c>
      <c r="P88" s="83">
        <f t="shared" si="19"/>
        <v>2.8141241858526893E-54</v>
      </c>
      <c r="Q88" s="71"/>
    </row>
    <row r="89" spans="1:17">
      <c r="A89" s="81">
        <f t="shared" si="17"/>
        <v>7.8000000000000043</v>
      </c>
      <c r="B89" s="81">
        <f t="shared" si="18"/>
        <v>20</v>
      </c>
      <c r="C89" s="82">
        <f t="shared" si="13"/>
        <v>4.4715839898354739</v>
      </c>
      <c r="D89" s="82">
        <f t="shared" si="14"/>
        <v>3.1614970153635977</v>
      </c>
      <c r="E89" s="83">
        <f t="shared" si="15"/>
        <v>5.8959919711605968E-2</v>
      </c>
      <c r="F89" s="84">
        <f t="shared" si="12"/>
        <v>3.8945478591190907E-2</v>
      </c>
      <c r="G89" s="84">
        <f t="shared" si="12"/>
        <v>2.4368726899570703E-2</v>
      </c>
      <c r="H89" s="84">
        <f t="shared" si="12"/>
        <v>1.4502209295102375E-2</v>
      </c>
      <c r="I89" s="84">
        <f t="shared" si="12"/>
        <v>8.2349392458316295E-3</v>
      </c>
      <c r="J89" s="84">
        <f t="shared" si="12"/>
        <v>4.4728955490351829E-3</v>
      </c>
      <c r="K89" s="84">
        <f t="shared" si="12"/>
        <v>2.3281272608195458E-3</v>
      </c>
      <c r="L89" s="84">
        <f t="shared" si="12"/>
        <v>1.162663515871909E-3</v>
      </c>
      <c r="M89" s="92">
        <f t="shared" si="7"/>
        <v>0.10512000000000001</v>
      </c>
      <c r="N89" s="83">
        <f t="shared" si="9"/>
        <v>1.8764460115249147E-12</v>
      </c>
      <c r="O89" s="92">
        <f t="shared" si="16"/>
        <v>0</v>
      </c>
      <c r="P89" s="83">
        <f t="shared" si="19"/>
        <v>4.4815565485180355E-57</v>
      </c>
      <c r="Q89" s="71"/>
    </row>
    <row r="90" spans="1:17">
      <c r="A90" s="81">
        <f t="shared" si="17"/>
        <v>8.0000000000000036</v>
      </c>
      <c r="B90" s="81">
        <f t="shared" si="18"/>
        <v>20</v>
      </c>
      <c r="C90" s="82">
        <f t="shared" si="13"/>
        <v>4.4715698359866387</v>
      </c>
      <c r="D90" s="82">
        <f t="shared" si="14"/>
        <v>3.1614769962954936</v>
      </c>
      <c r="E90" s="83">
        <f t="shared" si="15"/>
        <v>5.3902858286344779E-2</v>
      </c>
      <c r="F90" s="84">
        <f t="shared" ref="F90:L99" si="20">IF(AND($C90&gt;0,$D90=0),0.5*EXP(-$C$12*$A90/$C$16)*(EXP(-($C$13*$A90/$C$16/$C$37+$C$39*F$49)*$C$38)*2*NORMSDIST(-(($C$13*$A90/$C$16/$C$37+$C$39*F$49)/(2*$C90)-$C$38*$C90)*SQRT(2))+EXP(($C$13*$A90/$C$16/$C$37+$C$39*F$49)*$C$38)*2*NORMSDIST(-(($C$13*$A90/$C$16/$C$37+$C$39*F$49)/(2*$C90)+$C$38*$C90)*SQRT(2)))*$C$9,IF($C90=0,0,0.5*EXP(-$C$12*$A90/$C$16)*((EXP(-($C$13*$A90/$C$16/$C$37+$C$39*F$49)*$C$38)*2*NORMSDIST(-(($C$13*$A90/$C$16/$C$37+$C$39*F$49)/(2*$C90)-$C$38*$C90)*SQRT(2))+EXP(($C$13*$A90/$C$16/$C$37+$C$39*F$49)*$C$38)*2*NORMSDIST(-(($C$13*$A90/$C$16/$C$37+$C$39*F$49)/(2*$C90)+$C$38*$C90)*SQRT(2)))-(EXP(-($C$13*$A90/$C$16/$C$37+$C$39*F$49)*$C$38)*2*NORMSDIST(-(($C$13*$A90/$C$16/$C$37+$C$39*F$49)/(2*$D90)-$C$38*$D90)*SQRT(2))+EXP(($C$13*$A90/$C$16/$C$37+$C$39*F$49)*$C$38)*2*NORMSDIST(-(($C$13*$A90/$C$16/$C$37+$C$39*F$49)/(2*$D90)+$C$38*$D90)*SQRT(2))))*$C$9))</f>
        <v>3.515327185248851E-2</v>
      </c>
      <c r="G90" s="84">
        <f t="shared" si="20"/>
        <v>2.173839338375072E-2</v>
      </c>
      <c r="H90" s="84">
        <f t="shared" si="20"/>
        <v>1.2795696967902614E-2</v>
      </c>
      <c r="I90" s="84">
        <f t="shared" si="20"/>
        <v>7.1911545358536166E-3</v>
      </c>
      <c r="J90" s="84">
        <f t="shared" si="20"/>
        <v>3.8675803875278802E-3</v>
      </c>
      <c r="K90" s="84">
        <f t="shared" si="20"/>
        <v>1.993944167138828E-3</v>
      </c>
      <c r="L90" s="84">
        <f t="shared" si="20"/>
        <v>9.8652822111966465E-4</v>
      </c>
      <c r="M90" s="92">
        <f t="shared" si="7"/>
        <v>0.10512000000000001</v>
      </c>
      <c r="N90" s="83">
        <f t="shared" si="9"/>
        <v>3.1522978946636502E-13</v>
      </c>
      <c r="O90" s="92">
        <f t="shared" si="16"/>
        <v>0</v>
      </c>
      <c r="P90" s="83">
        <f t="shared" si="19"/>
        <v>6.0452068200839633E-60</v>
      </c>
      <c r="Q90" s="71"/>
    </row>
    <row r="91" spans="1:17">
      <c r="A91" s="81">
        <f t="shared" si="17"/>
        <v>8.2000000000000028</v>
      </c>
      <c r="B91" s="81">
        <f t="shared" si="18"/>
        <v>20</v>
      </c>
      <c r="C91" s="82">
        <f t="shared" si="13"/>
        <v>4.471555682093002</v>
      </c>
      <c r="D91" s="82">
        <f t="shared" si="14"/>
        <v>3.1614569771006242</v>
      </c>
      <c r="E91" s="83">
        <f t="shared" si="15"/>
        <v>4.9131196210955741E-2</v>
      </c>
      <c r="F91" s="84">
        <f t="shared" si="20"/>
        <v>3.1642552954317615E-2</v>
      </c>
      <c r="G91" s="84">
        <f t="shared" si="20"/>
        <v>1.9342199271736193E-2</v>
      </c>
      <c r="H91" s="84">
        <f t="shared" si="20"/>
        <v>1.1262800590656319E-2</v>
      </c>
      <c r="I91" s="84">
        <f t="shared" si="20"/>
        <v>6.2653004185373451E-3</v>
      </c>
      <c r="J91" s="84">
        <f t="shared" si="20"/>
        <v>3.3368192833298504E-3</v>
      </c>
      <c r="K91" s="84">
        <f t="shared" si="20"/>
        <v>1.7040695724122035E-3</v>
      </c>
      <c r="L91" s="84">
        <f t="shared" si="20"/>
        <v>8.3531176992424072E-4</v>
      </c>
      <c r="M91" s="92">
        <f t="shared" si="7"/>
        <v>0.10512000000000001</v>
      </c>
      <c r="N91" s="83">
        <f t="shared" si="9"/>
        <v>4.9885957353213005E-14</v>
      </c>
      <c r="O91" s="92">
        <f t="shared" si="16"/>
        <v>0</v>
      </c>
      <c r="P91" s="83">
        <f t="shared" si="19"/>
        <v>6.9067958965394441E-63</v>
      </c>
      <c r="Q91" s="71"/>
    </row>
    <row r="92" spans="1:17">
      <c r="A92" s="81">
        <f t="shared" si="17"/>
        <v>8.4000000000000021</v>
      </c>
      <c r="B92" s="81">
        <f t="shared" si="18"/>
        <v>20</v>
      </c>
      <c r="C92" s="82">
        <f t="shared" si="13"/>
        <v>4.4715415281545638</v>
      </c>
      <c r="D92" s="82">
        <f t="shared" si="14"/>
        <v>3.1614369577789869</v>
      </c>
      <c r="E92" s="83">
        <f t="shared" si="15"/>
        <v>4.4649817124231106E-2</v>
      </c>
      <c r="F92" s="84">
        <f t="shared" si="20"/>
        <v>2.8405065204430091E-2</v>
      </c>
      <c r="G92" s="84">
        <f t="shared" si="20"/>
        <v>1.7166640713718984E-2</v>
      </c>
      <c r="H92" s="84">
        <f t="shared" si="20"/>
        <v>9.8899676088488597E-3</v>
      </c>
      <c r="I92" s="84">
        <f t="shared" si="20"/>
        <v>5.4462811479574214E-3</v>
      </c>
      <c r="J92" s="84">
        <f t="shared" si="20"/>
        <v>2.8726025552505696E-3</v>
      </c>
      <c r="K92" s="84">
        <f t="shared" si="20"/>
        <v>1.4532288565360929E-3</v>
      </c>
      <c r="L92" s="84">
        <f t="shared" si="20"/>
        <v>7.0578718731129086E-4</v>
      </c>
      <c r="M92" s="92">
        <f t="shared" si="7"/>
        <v>0.10512000000000001</v>
      </c>
      <c r="N92" s="83">
        <f t="shared" si="9"/>
        <v>7.4364892624192333E-15</v>
      </c>
      <c r="O92" s="92">
        <f t="shared" si="16"/>
        <v>0</v>
      </c>
      <c r="P92" s="83">
        <f t="shared" si="19"/>
        <v>6.6836349250241503E-66</v>
      </c>
      <c r="Q92" s="71"/>
    </row>
    <row r="93" spans="1:17">
      <c r="A93" s="81">
        <f t="shared" si="17"/>
        <v>8.6000000000000014</v>
      </c>
      <c r="B93" s="81">
        <f t="shared" si="18"/>
        <v>20</v>
      </c>
      <c r="C93" s="82">
        <f t="shared" si="13"/>
        <v>4.4715273741713242</v>
      </c>
      <c r="D93" s="82">
        <f t="shared" si="14"/>
        <v>3.1614169383305795</v>
      </c>
      <c r="E93" s="83">
        <f t="shared" si="15"/>
        <v>4.0459812053100119E-2</v>
      </c>
      <c r="F93" s="84">
        <f t="shared" si="20"/>
        <v>2.5430742553155916E-2</v>
      </c>
      <c r="G93" s="84">
        <f t="shared" si="20"/>
        <v>1.5197850540590974E-2</v>
      </c>
      <c r="H93" s="84">
        <f t="shared" si="20"/>
        <v>8.6640685922021454E-3</v>
      </c>
      <c r="I93" s="84">
        <f t="shared" si="20"/>
        <v>4.7236985050855829E-3</v>
      </c>
      <c r="J93" s="84">
        <f t="shared" si="20"/>
        <v>2.4675960944322561E-3</v>
      </c>
      <c r="K93" s="84">
        <f t="shared" si="20"/>
        <v>1.2366787624524811E-3</v>
      </c>
      <c r="L93" s="84">
        <f t="shared" si="20"/>
        <v>5.9509615439634622E-4</v>
      </c>
      <c r="M93" s="92">
        <f t="shared" si="7"/>
        <v>0.10512000000000001</v>
      </c>
      <c r="N93" s="83">
        <f t="shared" si="9"/>
        <v>1.0441832398813872E-15</v>
      </c>
      <c r="O93" s="92">
        <f t="shared" si="16"/>
        <v>0</v>
      </c>
      <c r="P93" s="83">
        <f t="shared" si="19"/>
        <v>5.4778202943481182E-69</v>
      </c>
      <c r="Q93" s="71"/>
    </row>
    <row r="94" spans="1:17">
      <c r="A94" s="81">
        <f t="shared" si="17"/>
        <v>8.8000000000000007</v>
      </c>
      <c r="B94" s="81">
        <f t="shared" si="18"/>
        <v>20</v>
      </c>
      <c r="C94" s="82">
        <f t="shared" si="13"/>
        <v>4.4715132201432812</v>
      </c>
      <c r="D94" s="82">
        <f t="shared" si="14"/>
        <v>3.1613969187553996</v>
      </c>
      <c r="E94" s="83">
        <f t="shared" si="15"/>
        <v>3.6558956999800607E-2</v>
      </c>
      <c r="F94" s="84">
        <f t="shared" si="20"/>
        <v>2.2708097978034081E-2</v>
      </c>
      <c r="G94" s="84">
        <f t="shared" si="20"/>
        <v>1.3421833273315364E-2</v>
      </c>
      <c r="H94" s="84">
        <f t="shared" si="20"/>
        <v>7.5724972263777612E-3</v>
      </c>
      <c r="I94" s="84">
        <f t="shared" si="20"/>
        <v>4.0878655532696762E-3</v>
      </c>
      <c r="J94" s="84">
        <f t="shared" si="20"/>
        <v>2.1151143635322889E-3</v>
      </c>
      <c r="K94" s="84">
        <f t="shared" si="20"/>
        <v>1.0501694570004272E-3</v>
      </c>
      <c r="L94" s="84">
        <f t="shared" si="20"/>
        <v>5.0071492113712424E-4</v>
      </c>
      <c r="M94" s="92">
        <f t="shared" si="7"/>
        <v>0.10512000000000001</v>
      </c>
      <c r="N94" s="83">
        <f t="shared" si="9"/>
        <v>1.3809780073737508E-16</v>
      </c>
      <c r="O94" s="92">
        <f t="shared" si="16"/>
        <v>0</v>
      </c>
      <c r="P94" s="83">
        <f t="shared" si="19"/>
        <v>3.8023397073295229E-72</v>
      </c>
      <c r="Q94" s="71"/>
    </row>
    <row r="95" spans="1:17">
      <c r="A95" s="81">
        <f t="shared" si="17"/>
        <v>9</v>
      </c>
      <c r="B95" s="81">
        <f t="shared" si="18"/>
        <v>20</v>
      </c>
      <c r="C95" s="82">
        <f t="shared" si="13"/>
        <v>4.471499066070435</v>
      </c>
      <c r="D95" s="82">
        <f t="shared" si="14"/>
        <v>3.1613768990534448</v>
      </c>
      <c r="E95" s="83">
        <f t="shared" si="15"/>
        <v>3.2942182004706E-2</v>
      </c>
      <c r="F95" s="84">
        <f t="shared" si="20"/>
        <v>2.0224578637380919E-2</v>
      </c>
      <c r="G95" s="84">
        <f t="shared" si="20"/>
        <v>1.1824665841409399E-2</v>
      </c>
      <c r="H95" s="84">
        <f t="shared" si="20"/>
        <v>6.6032460652487579E-3</v>
      </c>
      <c r="I95" s="84">
        <f t="shared" si="20"/>
        <v>3.5298075721730271E-3</v>
      </c>
      <c r="J95" s="84">
        <f t="shared" si="20"/>
        <v>1.8090888769877189E-3</v>
      </c>
      <c r="K95" s="84">
        <f t="shared" si="20"/>
        <v>8.8990661446652908E-4</v>
      </c>
      <c r="L95" s="84">
        <f t="shared" si="20"/>
        <v>4.2042203050485227E-4</v>
      </c>
      <c r="M95" s="92">
        <f t="shared" si="7"/>
        <v>0.10512000000000001</v>
      </c>
      <c r="N95" s="83">
        <f t="shared" si="9"/>
        <v>1.7202109355167079E-17</v>
      </c>
      <c r="O95" s="92">
        <f t="shared" si="16"/>
        <v>0</v>
      </c>
      <c r="P95" s="83">
        <f t="shared" si="19"/>
        <v>2.2352800840587441E-75</v>
      </c>
      <c r="Q95" s="71"/>
    </row>
    <row r="96" spans="1:17">
      <c r="A96" s="81">
        <f t="shared" si="17"/>
        <v>9.1999999999999993</v>
      </c>
      <c r="B96" s="81">
        <f t="shared" si="18"/>
        <v>20</v>
      </c>
      <c r="C96" s="82">
        <f t="shared" si="13"/>
        <v>4.4714849119527864</v>
      </c>
      <c r="D96" s="82">
        <f t="shared" si="14"/>
        <v>3.1613568792247122</v>
      </c>
      <c r="E96" s="83">
        <f t="shared" si="15"/>
        <v>2.9602023416710477E-2</v>
      </c>
      <c r="F96" s="84">
        <f t="shared" si="20"/>
        <v>1.7966885905510654E-2</v>
      </c>
      <c r="G96" s="84">
        <f t="shared" si="20"/>
        <v>1.0392665759181741E-2</v>
      </c>
      <c r="H96" s="84">
        <f t="shared" si="20"/>
        <v>5.7449607732755759E-3</v>
      </c>
      <c r="I96" s="84">
        <f t="shared" si="20"/>
        <v>3.0412524082876757E-3</v>
      </c>
      <c r="J96" s="84">
        <f t="shared" si="20"/>
        <v>1.5440335072807176E-3</v>
      </c>
      <c r="K96" s="84">
        <f t="shared" si="20"/>
        <v>7.5251412577093113E-4</v>
      </c>
      <c r="L96" s="84">
        <f t="shared" si="20"/>
        <v>3.522680130471257E-4</v>
      </c>
      <c r="M96" s="92">
        <f t="shared" si="7"/>
        <v>0.10512000000000001</v>
      </c>
      <c r="N96" s="83">
        <f t="shared" si="9"/>
        <v>2.018117560750914E-18</v>
      </c>
      <c r="O96" s="92">
        <f t="shared" si="16"/>
        <v>0</v>
      </c>
      <c r="P96" s="83">
        <f t="shared" si="19"/>
        <v>1.1128621297825542E-78</v>
      </c>
      <c r="Q96" s="71"/>
    </row>
    <row r="97" spans="1:17">
      <c r="A97" s="81">
        <f t="shared" si="17"/>
        <v>9.3999999999999986</v>
      </c>
      <c r="B97" s="81">
        <f t="shared" si="18"/>
        <v>20</v>
      </c>
      <c r="C97" s="82">
        <f t="shared" si="13"/>
        <v>4.4714707577903328</v>
      </c>
      <c r="D97" s="82">
        <f t="shared" si="14"/>
        <v>3.1613368592692006</v>
      </c>
      <c r="E97" s="83">
        <f t="shared" si="15"/>
        <v>2.6529052721087742E-2</v>
      </c>
      <c r="F97" s="84">
        <f t="shared" si="20"/>
        <v>1.5921259503478336E-2</v>
      </c>
      <c r="G97" s="84">
        <f t="shared" si="20"/>
        <v>9.112528929736019E-3</v>
      </c>
      <c r="H97" s="84">
        <f t="shared" si="20"/>
        <v>4.9869755585900677E-3</v>
      </c>
      <c r="I97" s="84">
        <f t="shared" si="20"/>
        <v>2.614612283035278E-3</v>
      </c>
      <c r="J97" s="84">
        <f t="shared" si="20"/>
        <v>1.315007768626586E-3</v>
      </c>
      <c r="K97" s="84">
        <f t="shared" si="20"/>
        <v>6.349979107771464E-4</v>
      </c>
      <c r="L97" s="84">
        <f t="shared" si="20"/>
        <v>2.9454713353364349E-4</v>
      </c>
      <c r="M97" s="92">
        <f t="shared" si="7"/>
        <v>0.10512000000000001</v>
      </c>
      <c r="N97" s="83">
        <f t="shared" si="9"/>
        <v>2.2298062074004221E-19</v>
      </c>
      <c r="O97" s="92">
        <f t="shared" si="16"/>
        <v>0</v>
      </c>
      <c r="P97" s="83">
        <f t="shared" si="19"/>
        <v>4.692132231150378E-82</v>
      </c>
      <c r="Q97" s="71"/>
    </row>
    <row r="98" spans="1:17">
      <c r="A98" s="81">
        <f t="shared" si="17"/>
        <v>9.5999999999999979</v>
      </c>
      <c r="B98" s="81">
        <f t="shared" si="18"/>
        <v>20</v>
      </c>
      <c r="C98" s="82">
        <f t="shared" si="13"/>
        <v>4.471456603583075</v>
      </c>
      <c r="D98" s="82">
        <f t="shared" si="14"/>
        <v>3.1613168391869064</v>
      </c>
      <c r="E98" s="83">
        <f t="shared" si="15"/>
        <v>2.3712276823792733E-2</v>
      </c>
      <c r="F98" s="84">
        <f t="shared" si="20"/>
        <v>1.4073725878940069E-2</v>
      </c>
      <c r="G98" s="84">
        <f t="shared" si="20"/>
        <v>7.9714395391030646E-3</v>
      </c>
      <c r="H98" s="84">
        <f t="shared" si="20"/>
        <v>4.3193324097372532E-3</v>
      </c>
      <c r="I98" s="84">
        <f t="shared" si="20"/>
        <v>2.2429588939028022E-3</v>
      </c>
      <c r="J98" s="84">
        <f t="shared" si="20"/>
        <v>1.1175790523652029E-3</v>
      </c>
      <c r="K98" s="84">
        <f t="shared" si="20"/>
        <v>5.3471119910541987E-4</v>
      </c>
      <c r="L98" s="84">
        <f t="shared" si="20"/>
        <v>2.4577124149410123E-4</v>
      </c>
      <c r="M98" s="92">
        <f t="shared" si="7"/>
        <v>0.10512000000000001</v>
      </c>
      <c r="N98" s="83">
        <f t="shared" si="9"/>
        <v>2.3202288233535903E-20</v>
      </c>
      <c r="O98" s="92">
        <f t="shared" si="16"/>
        <v>0</v>
      </c>
      <c r="P98" s="83">
        <f t="shared" si="19"/>
        <v>1.6753680110729035E-85</v>
      </c>
      <c r="Q98" s="71"/>
    </row>
    <row r="99" spans="1:17">
      <c r="A99" s="81">
        <f t="shared" si="17"/>
        <v>9.7999999999999972</v>
      </c>
      <c r="B99" s="81">
        <f t="shared" si="18"/>
        <v>20</v>
      </c>
      <c r="C99" s="82">
        <f t="shared" si="13"/>
        <v>4.471442449331013</v>
      </c>
      <c r="D99" s="82">
        <f t="shared" si="14"/>
        <v>3.1612968189778274</v>
      </c>
      <c r="E99" s="83">
        <f t="shared" si="15"/>
        <v>2.1139506134797648E-2</v>
      </c>
      <c r="F99" s="84">
        <f t="shared" si="20"/>
        <v>1.2410311766507753E-2</v>
      </c>
      <c r="G99" s="84">
        <f t="shared" si="20"/>
        <v>6.9571546814348739E-3</v>
      </c>
      <c r="H99" s="84">
        <f t="shared" si="20"/>
        <v>3.7327866132215171E-3</v>
      </c>
      <c r="I99" s="84">
        <f t="shared" si="20"/>
        <v>1.9199934332267965E-3</v>
      </c>
      <c r="J99" s="84">
        <f t="shared" si="20"/>
        <v>9.4778461818911808E-4</v>
      </c>
      <c r="K99" s="84">
        <f t="shared" si="20"/>
        <v>4.4932154084209586E-4</v>
      </c>
      <c r="L99" s="84">
        <f t="shared" si="20"/>
        <v>2.0464570488608807E-4</v>
      </c>
      <c r="M99" s="92">
        <f t="shared" si="7"/>
        <v>0.10512000000000001</v>
      </c>
      <c r="N99" s="83">
        <f t="shared" si="9"/>
        <v>2.2736606195299827E-21</v>
      </c>
      <c r="O99" s="92">
        <f t="shared" si="16"/>
        <v>0</v>
      </c>
      <c r="P99" s="83">
        <f t="shared" si="19"/>
        <v>5.0658629135270944E-89</v>
      </c>
      <c r="Q99" s="71"/>
    </row>
    <row r="100" spans="1:17">
      <c r="A100" s="81">
        <f t="shared" si="17"/>
        <v>9.9999999999999964</v>
      </c>
      <c r="B100" s="81">
        <f t="shared" si="18"/>
        <v>20</v>
      </c>
      <c r="C100" s="82">
        <f t="shared" si="13"/>
        <v>4.471428295034146</v>
      </c>
      <c r="D100" s="82">
        <f t="shared" si="14"/>
        <v>3.1612767986419619</v>
      </c>
      <c r="E100" s="83">
        <f t="shared" si="15"/>
        <v>1.8797688104520205E-2</v>
      </c>
      <c r="F100" s="84">
        <f t="shared" ref="F100:L109" si="21">IF(AND($C100&gt;0,$D100=0),0.5*EXP(-$C$12*$A100/$C$16)*(EXP(-($C$13*$A100/$C$16/$C$37+$C$39*F$49)*$C$38)*2*NORMSDIST(-(($C$13*$A100/$C$16/$C$37+$C$39*F$49)/(2*$C100)-$C$38*$C100)*SQRT(2))+EXP(($C$13*$A100/$C$16/$C$37+$C$39*F$49)*$C$38)*2*NORMSDIST(-(($C$13*$A100/$C$16/$C$37+$C$39*F$49)/(2*$C100)+$C$38*$C100)*SQRT(2)))*$C$9,IF($C100=0,0,0.5*EXP(-$C$12*$A100/$C$16)*((EXP(-($C$13*$A100/$C$16/$C$37+$C$39*F$49)*$C$38)*2*NORMSDIST(-(($C$13*$A100/$C$16/$C$37+$C$39*F$49)/(2*$C100)-$C$38*$C100)*SQRT(2))+EXP(($C$13*$A100/$C$16/$C$37+$C$39*F$49)*$C$38)*2*NORMSDIST(-(($C$13*$A100/$C$16/$C$37+$C$39*F$49)/(2*$C100)+$C$38*$C100)*SQRT(2)))-(EXP(-($C$13*$A100/$C$16/$C$37+$C$39*F$49)*$C$38)*2*NORMSDIST(-(($C$13*$A100/$C$16/$C$37+$C$39*F$49)/(2*$D100)-$C$38*$D100)*SQRT(2))+EXP(($C$13*$A100/$C$16/$C$37+$C$39*F$49)*$C$38)*2*NORMSDIST(-(($C$13*$A100/$C$16/$C$37+$C$39*F$49)/(2*$D100)+$C$38*$D100)*SQRT(2))))*$C$9))</f>
        <v>1.0917224481250543E-2</v>
      </c>
      <c r="G100" s="84">
        <f t="shared" si="21"/>
        <v>6.0580664364864312E-3</v>
      </c>
      <c r="H100" s="84">
        <f t="shared" si="21"/>
        <v>3.2188008606974794E-3</v>
      </c>
      <c r="I100" s="84">
        <f t="shared" si="21"/>
        <v>1.6400129467228908E-3</v>
      </c>
      <c r="J100" s="84">
        <f t="shared" si="21"/>
        <v>8.0209400088460114E-4</v>
      </c>
      <c r="K100" s="84">
        <f t="shared" si="21"/>
        <v>3.7677973530974765E-4</v>
      </c>
      <c r="L100" s="84">
        <f t="shared" si="21"/>
        <v>1.7004739416024434E-4</v>
      </c>
      <c r="M100" s="92">
        <f t="shared" si="7"/>
        <v>0.10512000000000001</v>
      </c>
      <c r="N100" s="83">
        <f t="shared" si="9"/>
        <v>2.0981693109924752E-22</v>
      </c>
      <c r="O100" s="92">
        <f t="shared" si="16"/>
        <v>0</v>
      </c>
      <c r="P100" s="83">
        <f t="shared" si="19"/>
        <v>1.297156850109088E-92</v>
      </c>
      <c r="Q100" s="71"/>
    </row>
    <row r="101" spans="1:17">
      <c r="A101" s="81">
        <f t="shared" si="17"/>
        <v>10.199999999999996</v>
      </c>
      <c r="B101" s="81">
        <f t="shared" si="18"/>
        <v>20</v>
      </c>
      <c r="C101" s="82">
        <f t="shared" si="13"/>
        <v>4.471414140692473</v>
      </c>
      <c r="D101" s="82">
        <f t="shared" si="14"/>
        <v>3.1612567781793066</v>
      </c>
      <c r="E101" s="83">
        <f t="shared" si="15"/>
        <v>1.667320502858316E-2</v>
      </c>
      <c r="F101" s="84">
        <f t="shared" si="21"/>
        <v>9.5810009720671552E-3</v>
      </c>
      <c r="G101" s="84">
        <f t="shared" si="21"/>
        <v>5.2632441195998858E-3</v>
      </c>
      <c r="H101" s="84">
        <f t="shared" si="21"/>
        <v>2.7695300636303433E-3</v>
      </c>
      <c r="I101" s="84">
        <f t="shared" si="21"/>
        <v>1.3978742558626855E-3</v>
      </c>
      <c r="J101" s="84">
        <f t="shared" si="21"/>
        <v>6.7737235173881416E-4</v>
      </c>
      <c r="K101" s="84">
        <f t="shared" si="21"/>
        <v>3.1529079609439562E-4</v>
      </c>
      <c r="L101" s="84">
        <f t="shared" si="21"/>
        <v>1.4100464611469776E-4</v>
      </c>
      <c r="M101" s="92">
        <f t="shared" si="7"/>
        <v>0.10512000000000001</v>
      </c>
      <c r="N101" s="83">
        <f t="shared" si="9"/>
        <v>1.8233297218832772E-23</v>
      </c>
      <c r="O101" s="92">
        <f t="shared" si="16"/>
        <v>0</v>
      </c>
      <c r="P101" s="83">
        <f t="shared" si="19"/>
        <v>2.8126807328195969E-96</v>
      </c>
      <c r="Q101" s="71"/>
    </row>
    <row r="102" spans="1:17">
      <c r="A102" s="81">
        <f t="shared" si="17"/>
        <v>10.399999999999995</v>
      </c>
      <c r="B102" s="81">
        <f t="shared" si="18"/>
        <v>20</v>
      </c>
      <c r="C102" s="82">
        <f t="shared" si="13"/>
        <v>4.4713999863059941</v>
      </c>
      <c r="D102" s="82">
        <f t="shared" si="14"/>
        <v>3.1612367575898599</v>
      </c>
      <c r="E102" s="83">
        <f t="shared" si="15"/>
        <v>1.4752135937646571E-2</v>
      </c>
      <c r="F102" s="84">
        <f t="shared" si="21"/>
        <v>8.3886280013196757E-3</v>
      </c>
      <c r="G102" s="84">
        <f t="shared" si="21"/>
        <v>4.5624593568149852E-3</v>
      </c>
      <c r="H102" s="84">
        <f t="shared" si="21"/>
        <v>2.3777987893849328E-3</v>
      </c>
      <c r="I102" s="84">
        <f t="shared" si="21"/>
        <v>1.1889564816325304E-3</v>
      </c>
      <c r="J102" s="84">
        <f t="shared" si="21"/>
        <v>5.7084512102956175E-4</v>
      </c>
      <c r="K102" s="84">
        <f t="shared" si="21"/>
        <v>2.6328699647772813E-4</v>
      </c>
      <c r="L102" s="84">
        <f t="shared" si="21"/>
        <v>1.1667912031083216E-4</v>
      </c>
      <c r="M102" s="92">
        <f t="shared" si="7"/>
        <v>0.10512000000000001</v>
      </c>
      <c r="N102" s="83">
        <f t="shared" si="9"/>
        <v>1.4920731338812025E-24</v>
      </c>
      <c r="O102" s="92">
        <f t="shared" si="16"/>
        <v>0</v>
      </c>
      <c r="P102" s="83">
        <f t="shared" si="19"/>
        <v>5.1645288108371542E-100</v>
      </c>
      <c r="Q102" s="71"/>
    </row>
    <row r="103" spans="1:17">
      <c r="A103" s="81">
        <f t="shared" si="17"/>
        <v>10.599999999999994</v>
      </c>
      <c r="B103" s="81">
        <f t="shared" si="18"/>
        <v>20</v>
      </c>
      <c r="C103" s="82">
        <f t="shared" si="13"/>
        <v>4.4713858318747102</v>
      </c>
      <c r="D103" s="82">
        <f t="shared" si="14"/>
        <v>3.1612167368736186</v>
      </c>
      <c r="E103" s="83">
        <f t="shared" si="15"/>
        <v>1.3020483227986768E-2</v>
      </c>
      <c r="F103" s="84">
        <f t="shared" si="21"/>
        <v>7.3276360367218185E-3</v>
      </c>
      <c r="G103" s="84">
        <f t="shared" si="21"/>
        <v>3.9461965188463122E-3</v>
      </c>
      <c r="H103" s="84">
        <f t="shared" si="21"/>
        <v>2.0370730232215362E-3</v>
      </c>
      <c r="I103" s="84">
        <f t="shared" si="21"/>
        <v>1.0091230391642281E-3</v>
      </c>
      <c r="J103" s="84">
        <f t="shared" si="21"/>
        <v>4.8006438867731482E-4</v>
      </c>
      <c r="K103" s="84">
        <f t="shared" si="21"/>
        <v>2.1940301588642094E-4</v>
      </c>
      <c r="L103" s="84">
        <f t="shared" si="21"/>
        <v>9.6349445864595226E-5</v>
      </c>
      <c r="M103" s="92">
        <f t="shared" si="7"/>
        <v>0.10512000000000001</v>
      </c>
      <c r="N103" s="83">
        <f t="shared" si="9"/>
        <v>1.1497576275831207E-25</v>
      </c>
      <c r="O103" s="92">
        <f t="shared" si="16"/>
        <v>0</v>
      </c>
      <c r="P103" s="83">
        <f t="shared" si="19"/>
        <v>8.0300287057553974E-104</v>
      </c>
      <c r="Q103" s="71"/>
    </row>
    <row r="104" spans="1:17">
      <c r="A104" s="81">
        <f t="shared" si="17"/>
        <v>10.799999999999994</v>
      </c>
      <c r="B104" s="81">
        <f t="shared" si="18"/>
        <v>20</v>
      </c>
      <c r="C104" s="82">
        <f t="shared" si="13"/>
        <v>4.4713716773986176</v>
      </c>
      <c r="D104" s="82">
        <f t="shared" si="14"/>
        <v>3.1611967160305809</v>
      </c>
      <c r="E104" s="83">
        <f t="shared" si="15"/>
        <v>1.1464365368262674E-2</v>
      </c>
      <c r="F104" s="84">
        <f t="shared" si="21"/>
        <v>6.386169557379473E-3</v>
      </c>
      <c r="G104" s="84">
        <f t="shared" si="21"/>
        <v>3.4056508899520388E-3</v>
      </c>
      <c r="H104" s="84">
        <f t="shared" si="21"/>
        <v>1.741427755273417E-3</v>
      </c>
      <c r="I104" s="84">
        <f t="shared" si="21"/>
        <v>8.5468381471209831E-4</v>
      </c>
      <c r="J104" s="84">
        <f t="shared" si="21"/>
        <v>4.0287704045946916E-4</v>
      </c>
      <c r="K104" s="84">
        <f t="shared" si="21"/>
        <v>1.8245315214993505E-4</v>
      </c>
      <c r="L104" s="84">
        <f t="shared" si="21"/>
        <v>7.9396547380454491E-5</v>
      </c>
      <c r="M104" s="92">
        <f t="shared" si="7"/>
        <v>0.10512000000000001</v>
      </c>
      <c r="N104" s="83">
        <f t="shared" si="9"/>
        <v>8.342677128013395E-27</v>
      </c>
      <c r="O104" s="92">
        <f t="shared" si="16"/>
        <v>0</v>
      </c>
      <c r="P104" s="83">
        <f t="shared" si="19"/>
        <v>1.0572404359164332E-107</v>
      </c>
      <c r="Q104" s="71"/>
    </row>
    <row r="105" spans="1:17">
      <c r="A105" s="81">
        <f t="shared" si="17"/>
        <v>10.999999999999993</v>
      </c>
      <c r="B105" s="81">
        <f t="shared" si="18"/>
        <v>20</v>
      </c>
      <c r="C105" s="82">
        <f t="shared" si="13"/>
        <v>4.4713575228777183</v>
      </c>
      <c r="D105" s="82">
        <f t="shared" si="14"/>
        <v>3.1611766950607438</v>
      </c>
      <c r="E105" s="83">
        <f t="shared" si="15"/>
        <v>1.0070177546559034E-2</v>
      </c>
      <c r="F105" s="84">
        <f t="shared" si="21"/>
        <v>5.5530365036622342E-3</v>
      </c>
      <c r="G105" s="84">
        <f t="shared" si="21"/>
        <v>2.9327167645327723E-3</v>
      </c>
      <c r="H105" s="84">
        <f t="shared" si="21"/>
        <v>1.4855116884828767E-3</v>
      </c>
      <c r="I105" s="84">
        <f t="shared" si="21"/>
        <v>7.2235809468423895E-4</v>
      </c>
      <c r="J105" s="84">
        <f t="shared" si="21"/>
        <v>3.3739495600492976E-4</v>
      </c>
      <c r="K105" s="84">
        <f t="shared" si="21"/>
        <v>1.5141054284606231E-4</v>
      </c>
      <c r="L105" s="84">
        <f t="shared" si="21"/>
        <v>6.5290533117962624E-5</v>
      </c>
      <c r="M105" s="92">
        <f t="shared" si="7"/>
        <v>0.10512000000000001</v>
      </c>
      <c r="N105" s="83">
        <f t="shared" si="9"/>
        <v>5.7000637869419477E-28</v>
      </c>
      <c r="O105" s="92">
        <f t="shared" si="16"/>
        <v>0</v>
      </c>
      <c r="P105" s="83">
        <f t="shared" si="19"/>
        <v>1.1786779808079717E-111</v>
      </c>
      <c r="Q105" s="71"/>
    </row>
    <row r="106" spans="1:17">
      <c r="A106" s="81">
        <f t="shared" si="17"/>
        <v>11.199999999999992</v>
      </c>
      <c r="B106" s="81">
        <f t="shared" si="18"/>
        <v>20</v>
      </c>
      <c r="C106" s="82">
        <f t="shared" si="13"/>
        <v>4.4713433683120121</v>
      </c>
      <c r="D106" s="82">
        <f t="shared" si="14"/>
        <v>3.1611566739641055</v>
      </c>
      <c r="E106" s="83">
        <f t="shared" si="15"/>
        <v>8.8247225107265237E-3</v>
      </c>
      <c r="F106" s="84">
        <f t="shared" si="21"/>
        <v>4.8177395563324676E-3</v>
      </c>
      <c r="G106" s="84">
        <f t="shared" si="21"/>
        <v>2.5199674632530034E-3</v>
      </c>
      <c r="H106" s="84">
        <f t="shared" si="21"/>
        <v>1.2645101782740031E-3</v>
      </c>
      <c r="I106" s="84">
        <f t="shared" si="21"/>
        <v>6.0923869644913253E-4</v>
      </c>
      <c r="J106" s="84">
        <f t="shared" si="21"/>
        <v>2.8196725399760658E-4</v>
      </c>
      <c r="K106" s="84">
        <f t="shared" si="21"/>
        <v>1.253883144583977E-4</v>
      </c>
      <c r="L106" s="84">
        <f t="shared" si="21"/>
        <v>5.3579026551384562E-5</v>
      </c>
      <c r="M106" s="92">
        <f t="shared" si="7"/>
        <v>0.10512000000000001</v>
      </c>
      <c r="N106" s="83">
        <f t="shared" si="9"/>
        <v>3.6670921561885078E-29</v>
      </c>
      <c r="O106" s="92">
        <f t="shared" si="16"/>
        <v>0</v>
      </c>
      <c r="P106" s="83">
        <f t="shared" si="19"/>
        <v>1.1126948359405998E-115</v>
      </c>
      <c r="Q106" s="71"/>
    </row>
    <row r="107" spans="1:17">
      <c r="A107" s="81">
        <f t="shared" si="17"/>
        <v>11.399999999999991</v>
      </c>
      <c r="B107" s="81">
        <f t="shared" si="18"/>
        <v>20</v>
      </c>
      <c r="C107" s="82">
        <f t="shared" si="13"/>
        <v>4.4713292137014964</v>
      </c>
      <c r="D107" s="82">
        <f t="shared" si="14"/>
        <v>3.1611366527406632</v>
      </c>
      <c r="E107" s="83">
        <f t="shared" si="15"/>
        <v>7.7153141184203022E-3</v>
      </c>
      <c r="F107" s="84">
        <f t="shared" si="21"/>
        <v>4.1704918295197846E-3</v>
      </c>
      <c r="G107" s="84">
        <f t="shared" si="21"/>
        <v>2.1606290537863337E-3</v>
      </c>
      <c r="H107" s="84">
        <f t="shared" si="21"/>
        <v>1.0741073297297898E-3</v>
      </c>
      <c r="I107" s="84">
        <f t="shared" si="21"/>
        <v>5.1275764025127124E-4</v>
      </c>
      <c r="J107" s="84">
        <f t="shared" si="21"/>
        <v>2.3515464533563661E-4</v>
      </c>
      <c r="K107" s="84">
        <f t="shared" si="21"/>
        <v>1.0362256229167133E-4</v>
      </c>
      <c r="L107" s="84">
        <f t="shared" si="21"/>
        <v>4.387682247980802E-5</v>
      </c>
      <c r="M107" s="92">
        <f t="shared" si="7"/>
        <v>0.10512000000000001</v>
      </c>
      <c r="N107" s="83">
        <f t="shared" si="9"/>
        <v>2.2213904408091966E-30</v>
      </c>
      <c r="O107" s="92">
        <f t="shared" si="16"/>
        <v>0</v>
      </c>
      <c r="P107" s="83">
        <f t="shared" si="19"/>
        <v>8.8942944723471672E-120</v>
      </c>
      <c r="Q107" s="71"/>
    </row>
    <row r="108" spans="1:17">
      <c r="A108" s="81">
        <f t="shared" si="17"/>
        <v>11.599999999999991</v>
      </c>
      <c r="B108" s="81">
        <f t="shared" si="18"/>
        <v>20</v>
      </c>
      <c r="C108" s="82">
        <f t="shared" si="13"/>
        <v>4.471315059046173</v>
      </c>
      <c r="D108" s="82">
        <f t="shared" si="14"/>
        <v>3.1611166313904153</v>
      </c>
      <c r="E108" s="83">
        <f t="shared" si="15"/>
        <v>6.7298562665341066E-3</v>
      </c>
      <c r="F108" s="84">
        <f t="shared" si="21"/>
        <v>3.6022194170399757E-3</v>
      </c>
      <c r="G108" s="84">
        <f t="shared" si="21"/>
        <v>1.8485493517514939E-3</v>
      </c>
      <c r="H108" s="84">
        <f t="shared" si="21"/>
        <v>9.1044802797046742E-4</v>
      </c>
      <c r="I108" s="84">
        <f t="shared" si="21"/>
        <v>4.3065360534733088E-4</v>
      </c>
      <c r="J108" s="84">
        <f t="shared" si="21"/>
        <v>1.9570586519791625E-4</v>
      </c>
      <c r="K108" s="84">
        <f t="shared" si="21"/>
        <v>8.5457052557482419E-5</v>
      </c>
      <c r="L108" s="84">
        <f t="shared" si="21"/>
        <v>3.585675205767013E-5</v>
      </c>
      <c r="M108" s="92">
        <f t="shared" si="7"/>
        <v>0.10512000000000001</v>
      </c>
      <c r="N108" s="83">
        <f t="shared" si="9"/>
        <v>1.2670171419874453E-31</v>
      </c>
      <c r="O108" s="92">
        <f t="shared" si="16"/>
        <v>0</v>
      </c>
      <c r="P108" s="83">
        <f t="shared" si="19"/>
        <v>6.0200036298170205E-124</v>
      </c>
      <c r="Q108" s="71"/>
    </row>
    <row r="109" spans="1:17">
      <c r="A109" s="81">
        <f t="shared" si="17"/>
        <v>11.79999999999999</v>
      </c>
      <c r="B109" s="81">
        <f t="shared" si="18"/>
        <v>20</v>
      </c>
      <c r="C109" s="82">
        <f t="shared" si="13"/>
        <v>4.471300904346041</v>
      </c>
      <c r="D109" s="82">
        <f t="shared" si="14"/>
        <v>3.1610966099133582</v>
      </c>
      <c r="E109" s="83">
        <f t="shared" si="15"/>
        <v>5.8568999289234647E-3</v>
      </c>
      <c r="F109" s="84">
        <f t="shared" si="21"/>
        <v>3.1045530575459779E-3</v>
      </c>
      <c r="G109" s="84">
        <f t="shared" si="21"/>
        <v>1.5781635750893308E-3</v>
      </c>
      <c r="H109" s="84">
        <f t="shared" si="21"/>
        <v>7.7010051862202999E-4</v>
      </c>
      <c r="I109" s="84">
        <f t="shared" si="21"/>
        <v>3.6094133771159495E-4</v>
      </c>
      <c r="J109" s="84">
        <f t="shared" si="21"/>
        <v>1.6253613999101538E-4</v>
      </c>
      <c r="K109" s="84">
        <f t="shared" si="21"/>
        <v>7.0329531652269962E-5</v>
      </c>
      <c r="L109" s="84">
        <f t="shared" si="21"/>
        <v>2.9241644579557813E-5</v>
      </c>
      <c r="M109" s="92">
        <f t="shared" si="7"/>
        <v>0.10512000000000001</v>
      </c>
      <c r="N109" s="83">
        <f t="shared" si="9"/>
        <v>6.8043795915043186E-33</v>
      </c>
      <c r="O109" s="92">
        <f t="shared" si="16"/>
        <v>0</v>
      </c>
      <c r="P109" s="83">
        <f t="shared" si="19"/>
        <v>3.4500655480808022E-128</v>
      </c>
      <c r="Q109" s="71"/>
    </row>
    <row r="110" spans="1:17">
      <c r="A110" s="81">
        <f t="shared" si="17"/>
        <v>11.999999999999989</v>
      </c>
      <c r="B110" s="81">
        <f t="shared" si="18"/>
        <v>20</v>
      </c>
      <c r="C110" s="82">
        <f t="shared" si="13"/>
        <v>4.4712867496010995</v>
      </c>
      <c r="D110" s="82">
        <f t="shared" si="14"/>
        <v>3.16107658830949</v>
      </c>
      <c r="E110" s="83">
        <f t="shared" si="15"/>
        <v>5.0856810126493901E-3</v>
      </c>
      <c r="F110" s="84">
        <f t="shared" ref="F110:L119" si="22">IF(AND($C110&gt;0,$D110=0),0.5*EXP(-$C$12*$A110/$C$16)*(EXP(-($C$13*$A110/$C$16/$C$37+$C$39*F$49)*$C$38)*2*NORMSDIST(-(($C$13*$A110/$C$16/$C$37+$C$39*F$49)/(2*$C110)-$C$38*$C110)*SQRT(2))+EXP(($C$13*$A110/$C$16/$C$37+$C$39*F$49)*$C$38)*2*NORMSDIST(-(($C$13*$A110/$C$16/$C$37+$C$39*F$49)/(2*$C110)+$C$38*$C110)*SQRT(2)))*$C$9,IF($C110=0,0,0.5*EXP(-$C$12*$A110/$C$16)*((EXP(-($C$13*$A110/$C$16/$C$37+$C$39*F$49)*$C$38)*2*NORMSDIST(-(($C$13*$A110/$C$16/$C$37+$C$39*F$49)/(2*$C110)-$C$38*$C110)*SQRT(2))+EXP(($C$13*$A110/$C$16/$C$37+$C$39*F$49)*$C$38)*2*NORMSDIST(-(($C$13*$A110/$C$16/$C$37+$C$39*F$49)/(2*$C110)+$C$38*$C110)*SQRT(2)))-(EXP(-($C$13*$A110/$C$16/$C$37+$C$39*F$49)*$C$38)*2*NORMSDIST(-(($C$13*$A110/$C$16/$C$37+$C$39*F$49)/(2*$D110)-$C$38*$D110)*SQRT(2))+EXP(($C$13*$A110/$C$16/$C$37+$C$39*F$49)*$C$38)*2*NORMSDIST(-(($C$13*$A110/$C$16/$C$37+$C$39*F$49)/(2*$D110)+$C$38*$D110)*SQRT(2))))*$C$9))</f>
        <v>2.6698109877956178E-3</v>
      </c>
      <c r="G110" s="84">
        <f t="shared" si="22"/>
        <v>1.3444578298125176E-3</v>
      </c>
      <c r="H110" s="84">
        <f t="shared" si="22"/>
        <v>6.5002003424274868E-4</v>
      </c>
      <c r="I110" s="84">
        <f t="shared" si="22"/>
        <v>3.0188310808383374E-4</v>
      </c>
      <c r="J110" s="84">
        <f t="shared" si="22"/>
        <v>1.3470761517996071E-4</v>
      </c>
      <c r="K110" s="84">
        <f t="shared" si="22"/>
        <v>5.7759524024638583E-5</v>
      </c>
      <c r="L110" s="84">
        <f t="shared" si="22"/>
        <v>2.3797279123002597E-5</v>
      </c>
      <c r="M110" s="92">
        <f t="shared" si="7"/>
        <v>0.10512000000000001</v>
      </c>
      <c r="N110" s="83">
        <f t="shared" si="9"/>
        <v>3.4406247704461126E-34</v>
      </c>
      <c r="O110" s="92">
        <f t="shared" si="16"/>
        <v>0</v>
      </c>
      <c r="P110" s="83">
        <f t="shared" si="19"/>
        <v>1.6741679846925503E-132</v>
      </c>
      <c r="Q110" s="71"/>
    </row>
    <row r="111" spans="1:17">
      <c r="A111" s="81">
        <f t="shared" si="17"/>
        <v>12.199999999999989</v>
      </c>
      <c r="B111" s="81">
        <f t="shared" si="18"/>
        <v>20</v>
      </c>
      <c r="C111" s="82">
        <f t="shared" si="13"/>
        <v>4.4712725948113476</v>
      </c>
      <c r="D111" s="82">
        <f t="shared" si="14"/>
        <v>3.1610565665788086</v>
      </c>
      <c r="E111" s="83">
        <f t="shared" si="15"/>
        <v>4.4061416615843729E-3</v>
      </c>
      <c r="F111" s="84">
        <f t="shared" si="22"/>
        <v>2.2909748480433034E-3</v>
      </c>
      <c r="G111" s="84">
        <f t="shared" si="22"/>
        <v>1.1429314236899302E-3</v>
      </c>
      <c r="H111" s="84">
        <f t="shared" si="22"/>
        <v>5.4751384509477141E-4</v>
      </c>
      <c r="I111" s="84">
        <f t="shared" si="22"/>
        <v>2.5196226665601378E-4</v>
      </c>
      <c r="J111" s="84">
        <f t="shared" si="22"/>
        <v>1.1141165248027834E-4</v>
      </c>
      <c r="K111" s="84">
        <f t="shared" si="22"/>
        <v>4.7337499511058239E-5</v>
      </c>
      <c r="L111" s="84">
        <f t="shared" si="22"/>
        <v>1.9326225686719975E-5</v>
      </c>
      <c r="M111" s="92">
        <f t="shared" si="7"/>
        <v>0.10512000000000001</v>
      </c>
      <c r="N111" s="83">
        <f t="shared" si="9"/>
        <v>1.63803597604711E-35</v>
      </c>
      <c r="O111" s="92">
        <f t="shared" si="16"/>
        <v>0</v>
      </c>
      <c r="P111" s="83">
        <f t="shared" si="19"/>
        <v>6.8787221721859189E-137</v>
      </c>
      <c r="Q111" s="71"/>
    </row>
    <row r="112" spans="1:17">
      <c r="A112" s="81">
        <f t="shared" si="17"/>
        <v>12.399999999999988</v>
      </c>
      <c r="B112" s="81">
        <f t="shared" si="18"/>
        <v>20</v>
      </c>
      <c r="C112" s="82">
        <f t="shared" si="13"/>
        <v>4.4712584399767863</v>
      </c>
      <c r="D112" s="82">
        <f t="shared" si="14"/>
        <v>3.1610365447213109</v>
      </c>
      <c r="E112" s="83">
        <f t="shared" si="15"/>
        <v>3.8089375068430797E-3</v>
      </c>
      <c r="F112" s="84">
        <f t="shared" si="22"/>
        <v>1.9616602949226181E-3</v>
      </c>
      <c r="G112" s="84">
        <f t="shared" si="22"/>
        <v>9.6955883602656279E-4</v>
      </c>
      <c r="H112" s="84">
        <f t="shared" si="22"/>
        <v>4.6020801173618509E-4</v>
      </c>
      <c r="I112" s="84">
        <f t="shared" si="22"/>
        <v>2.0985888705980172E-4</v>
      </c>
      <c r="J112" s="84">
        <f t="shared" si="22"/>
        <v>9.1952891541083678E-5</v>
      </c>
      <c r="K112" s="84">
        <f t="shared" si="22"/>
        <v>3.8715293211001612E-5</v>
      </c>
      <c r="L112" s="84">
        <f t="shared" si="22"/>
        <v>1.5662481028131437E-5</v>
      </c>
      <c r="M112" s="92">
        <f t="shared" si="7"/>
        <v>0.10512000000000001</v>
      </c>
      <c r="N112" s="83">
        <f t="shared" si="9"/>
        <v>7.342463849108582E-37</v>
      </c>
      <c r="O112" s="92">
        <f t="shared" si="16"/>
        <v>0</v>
      </c>
      <c r="P112" s="83">
        <f t="shared" si="19"/>
        <v>2.3930386165621811E-141</v>
      </c>
      <c r="Q112" s="71"/>
    </row>
    <row r="113" spans="1:17">
      <c r="A113" s="81">
        <f t="shared" si="17"/>
        <v>12.599999999999987</v>
      </c>
      <c r="B113" s="81">
        <f t="shared" si="18"/>
        <v>20</v>
      </c>
      <c r="C113" s="82">
        <f t="shared" si="13"/>
        <v>4.4712442850974137</v>
      </c>
      <c r="D113" s="82">
        <f t="shared" si="14"/>
        <v>3.1610165227369951</v>
      </c>
      <c r="E113" s="83">
        <f t="shared" si="15"/>
        <v>3.285433198286114E-3</v>
      </c>
      <c r="F113" s="84">
        <f t="shared" si="22"/>
        <v>1.6760837703089226E-3</v>
      </c>
      <c r="G113" s="84">
        <f t="shared" si="22"/>
        <v>8.2075202189657581E-4</v>
      </c>
      <c r="H113" s="84">
        <f t="shared" si="22"/>
        <v>3.8601603706487877E-4</v>
      </c>
      <c r="I113" s="84">
        <f t="shared" si="22"/>
        <v>1.7442746855513469E-4</v>
      </c>
      <c r="J113" s="84">
        <f t="shared" si="22"/>
        <v>7.5734963048010564E-5</v>
      </c>
      <c r="K113" s="84">
        <f t="shared" si="22"/>
        <v>3.1597664040942014E-5</v>
      </c>
      <c r="L113" s="84">
        <f t="shared" si="22"/>
        <v>1.2666812970114568E-5</v>
      </c>
      <c r="M113" s="92">
        <f t="shared" si="7"/>
        <v>0.10512000000000001</v>
      </c>
      <c r="N113" s="83">
        <f t="shared" si="9"/>
        <v>3.0987578814974316E-38</v>
      </c>
      <c r="O113" s="92">
        <f t="shared" si="16"/>
        <v>0</v>
      </c>
      <c r="P113" s="83">
        <f t="shared" si="19"/>
        <v>7.0488972628283094E-146</v>
      </c>
      <c r="Q113" s="71"/>
    </row>
    <row r="114" spans="1:17">
      <c r="A114" s="81">
        <f t="shared" si="17"/>
        <v>12.799999999999986</v>
      </c>
      <c r="B114" s="81">
        <f t="shared" si="18"/>
        <v>20</v>
      </c>
      <c r="C114" s="82">
        <f t="shared" ref="C114:C130" si="23">IF((B114-$C$13/$C$16*A114)&gt;0,SQRT(B114-$C$13/$C$16*A114),0)</f>
        <v>4.4712301301732307</v>
      </c>
      <c r="D114" s="82">
        <f t="shared" ref="D114:D130" si="24">IF((B114-($C$13/$C$16*$A114+$C$19))&gt;0,SQRT(B114-($C$13/$C$16*$A114+$C$19)),0)</f>
        <v>3.1609965006258585</v>
      </c>
      <c r="E114" s="83">
        <f t="shared" ref="E114:E130" si="25">IF(AND($C114&gt;0,$D114=0),0.5*EXP(-$C$12*$A114/$C$16)*(EXP(-$C$13*$A114/$C$16*$C$38/$C$37)*2*NORMSDIST(-($C$13*$A114/$C$16/(2*$C$37*$C114)-$C$38*$C114)*SQRT(2))+EXP($C$13*$A114/$C$16*$C$38/$C$37)*2*NORMSDIST(-($C$13*$A114/$C$16/(2*$C$37*$C114)+$C$38*$C114)*SQRT(2)))*$C$9,IF($D114&gt;0,0.5*EXP(-$C$12*$A114/$C$16)*((EXP(-$C$13*$A114/$C$16*$C$38/$C$37)*2*NORMSDIST(-($C$13*$A114/$C$16/(2*$C$37*$C114)-$C$38*$C114)*SQRT(2))+EXP($C$13*$A114/$C$16*$C$38/$C$37)*2*NORMSDIST(-($C$13*$A114/$C$16/(2*$C$37*$C114)+$C$38*$C114)*SQRT(2)))-(EXP(-$C$13*$A114/$C$16*$C$38/$C$37)*2*NORMSDIST(-($C$13*$A114/$C$16/(2*$C$37*$D114)-$C$38*$D114)*SQRT(2))+EXP($C$13*$A114/$C$16*$C$38/$C$37)*2*NORMSDIST(-($C$13*$A114/$C$16/(2*$C$37*$D114)+$C$38*$D114)*SQRT(2))))*$C$9,0))</f>
        <v>2.8276883630180549E-3</v>
      </c>
      <c r="F114" s="84">
        <f t="shared" si="22"/>
        <v>1.4290266774044103E-3</v>
      </c>
      <c r="G114" s="84">
        <f t="shared" si="22"/>
        <v>6.9332358620988188E-4</v>
      </c>
      <c r="H114" s="84">
        <f t="shared" si="22"/>
        <v>3.2310953579232302E-4</v>
      </c>
      <c r="I114" s="84">
        <f t="shared" si="22"/>
        <v>1.4467662921433178E-4</v>
      </c>
      <c r="J114" s="84">
        <f t="shared" si="22"/>
        <v>6.2247735724645326E-5</v>
      </c>
      <c r="K114" s="84">
        <f t="shared" si="22"/>
        <v>2.5734882993492971E-5</v>
      </c>
      <c r="L114" s="84">
        <f t="shared" si="22"/>
        <v>1.022273144421449E-5</v>
      </c>
      <c r="M114" s="92">
        <f t="shared" si="7"/>
        <v>0.10512000000000001</v>
      </c>
      <c r="N114" s="83">
        <f t="shared" si="9"/>
        <v>1.2312786993074286E-39</v>
      </c>
      <c r="O114" s="92">
        <f t="shared" ref="O114:O130" si="26">SQRT(4*$C$12*$C$11)</f>
        <v>0</v>
      </c>
      <c r="P114" s="83">
        <f t="shared" si="19"/>
        <v>1.7579992922704682E-150</v>
      </c>
      <c r="Q114" s="71"/>
    </row>
    <row r="115" spans="1:17">
      <c r="A115" s="81">
        <f t="shared" ref="A115:A130" si="27">IF(ISBLANK($C$45),A114+$C$43,$C$45)</f>
        <v>12.999999999999986</v>
      </c>
      <c r="B115" s="81">
        <f t="shared" ref="B115:B130" si="28">IF(ISBLANK($C$44),B114+$C$42,$C$44)</f>
        <v>20</v>
      </c>
      <c r="C115" s="82">
        <f t="shared" si="23"/>
        <v>4.4712159752042355</v>
      </c>
      <c r="D115" s="82">
        <f t="shared" si="24"/>
        <v>3.1609764783878989</v>
      </c>
      <c r="E115" s="83">
        <f t="shared" si="25"/>
        <v>2.4284359337651829E-3</v>
      </c>
      <c r="F115" s="84">
        <f t="shared" si="22"/>
        <v>1.215798027579984E-3</v>
      </c>
      <c r="G115" s="84">
        <f t="shared" si="22"/>
        <v>5.844512558221826E-4</v>
      </c>
      <c r="H115" s="84">
        <f t="shared" si="22"/>
        <v>2.698909903357823E-4</v>
      </c>
      <c r="I115" s="84">
        <f t="shared" si="22"/>
        <v>1.1975070514927149E-4</v>
      </c>
      <c r="J115" s="84">
        <f t="shared" si="22"/>
        <v>5.1055978048140732E-5</v>
      </c>
      <c r="K115" s="84">
        <f t="shared" si="22"/>
        <v>2.0916248493637547E-5</v>
      </c>
      <c r="L115" s="84">
        <f t="shared" si="22"/>
        <v>8.2330134873200312E-6</v>
      </c>
      <c r="M115" s="92">
        <f t="shared" ref="M115:M130" si="29">IF($C$17&gt;0,$C$17*(1+4*$C$12*($C$18*$C$17+$C$11)/$C$17^2)^0.5,SQRT(4*$C$12*$C$11))</f>
        <v>0.10512000000000001</v>
      </c>
      <c r="N115" s="83">
        <f t="shared" si="9"/>
        <v>4.6062093374920413E-41</v>
      </c>
      <c r="O115" s="92">
        <f t="shared" si="26"/>
        <v>0</v>
      </c>
      <c r="P115" s="83">
        <f t="shared" ref="P115:P130" si="30">IF($B115&lt;=$C$19,$C$9/2*(EXP((-$O115)*$A115/(2*($C$11)))*2*NORMSDIST(-(($C$14*$A115-$O115*$B115)/(2*SQRT(($C$11)*$C$14*$B115)))*SQRT(2))+EXP(($O115)*$A115/(2*($C$11)))*2*NORMSDIST(-(($C$14*$A115+$O115*$B115)/(2*SQRT(($C$11)*$C$14*$B115)))*SQRT(2))),$C$9/2*(EXP((-$O115)*$A115/(2*($C$11)))*2*NORMSDIST(-(($C$14*$A115-$O115*$B115)/(2*SQRT(($C$11)*$C$14*$B115)))*SQRT(2))+EXP(($O115)*$A115/(2*($C$11)))*2*NORMSDIST(-(($C$14*$A115+$O115*$B115)/(2*SQRT(($C$11)*$C$14*$B115)))*SQRT(2))-EXP((-$O115)*$A115/(2*($C$11)))*2*NORMSDIST(-(($C$14*$A115-$O115*($B115-$C$19))/(2*SQRT(($C$11)*$C$14*($B115-$C$19))))*SQRT(2))-EXP(($O115)*$A115/(2*($C$11)))*2*NORMSDIST(-(($C$14*$A115+$O115*($B115-$C$19))/(2*SQRT(($C$11)*$C$14*($B115-$C$19))))*SQRT(2))))</f>
        <v>3.7122645503879358E-155</v>
      </c>
      <c r="Q115" s="71"/>
    </row>
    <row r="116" spans="1:17">
      <c r="A116" s="81">
        <f t="shared" si="27"/>
        <v>13.199999999999985</v>
      </c>
      <c r="B116" s="81">
        <f t="shared" si="28"/>
        <v>20</v>
      </c>
      <c r="C116" s="82">
        <f t="shared" si="23"/>
        <v>4.4712018201904291</v>
      </c>
      <c r="D116" s="82">
        <f t="shared" si="24"/>
        <v>3.1609564560231136</v>
      </c>
      <c r="E116" s="83">
        <f t="shared" si="25"/>
        <v>2.0810545812572911E-3</v>
      </c>
      <c r="F116" s="84">
        <f t="shared" si="22"/>
        <v>1.0321964495003666E-3</v>
      </c>
      <c r="G116" s="84">
        <f t="shared" si="22"/>
        <v>4.9164395515211012E-4</v>
      </c>
      <c r="H116" s="84">
        <f t="shared" si="22"/>
        <v>2.2496860342282625E-4</v>
      </c>
      <c r="I116" s="84">
        <f t="shared" si="22"/>
        <v>9.8913155283337044E-5</v>
      </c>
      <c r="J116" s="84">
        <f t="shared" si="22"/>
        <v>4.1789316480091668E-5</v>
      </c>
      <c r="K116" s="84">
        <f t="shared" si="22"/>
        <v>1.6964431464154812E-5</v>
      </c>
      <c r="L116" s="84">
        <f t="shared" si="22"/>
        <v>6.6167155521606586E-6</v>
      </c>
      <c r="M116" s="92">
        <f t="shared" si="29"/>
        <v>0.10512000000000001</v>
      </c>
      <c r="N116" s="83">
        <f t="shared" ref="N116:N130" si="31">IF($B116&lt;=$C$19,$C$9/2*(EXP(($C$17-$M116)*$A116/(2*($C$18*$C$17+$C$11)))*2*NORMSDIST(-(($C$14*$A116-$M116*$B116)/(2*SQRT(($C$18*$C$17+$C$11)*$C$14*$B116)))*SQRT(2))+EXP(($C$17+$M116)*$A116/(2*($C$18*$C$17+$C$11)))*2*NORMSDIST(-(($C$14*$A116+$M116*$B116)/(2*SQRT(($C$18*$C$17+$C$11)*$C$14*$B116)))*SQRT(2))),$C$9/2*(EXP(($C$17-$M116)*$A116/(2*($C$18*$C$17+$C$11)))*2*NORMSDIST(-(($C$14*$A116-$M116*$B116)/(2*SQRT(($C$18*$C$17+$C$11)*$C$14*$B116)))*SQRT(2))+EXP(($C$17+$M116)*$A116/(2*($C$18*$C$17+$C$11)))*2*NORMSDIST(-(($C$14*$A116+$M116*$B116)/(2*SQRT(($C$18*$C$17+$C$11)*$C$14*$B116)))*SQRT(2))-EXP(($C$17-$M116)*$A116/(2*($C$18*$C$17+$C$11)))*2*NORMSDIST(-(($C$14*$A116-$M116*($B116-$C$19))/(2*SQRT(($C$18*$C$17+$C$11)*$C$14*($B116-$C$19))))*SQRT(2))-EXP(($C$17+$M116)*$A116/(2*($C$18*$C$17+$C$11)))*2*NORMSDIST(-(($C$14*$A116+$M116*($B116-$C$19))/(2*SQRT(($C$18*$C$17+$C$11)*$C$14*($B116-$C$19))))*SQRT(2))))</f>
        <v>1.6223534295875871E-42</v>
      </c>
      <c r="O116" s="92">
        <f t="shared" si="26"/>
        <v>0</v>
      </c>
      <c r="P116" s="83">
        <f t="shared" si="30"/>
        <v>6.6371046370501051E-160</v>
      </c>
      <c r="Q116" s="71"/>
    </row>
    <row r="117" spans="1:17">
      <c r="A117" s="81">
        <f t="shared" si="27"/>
        <v>13.399999999999984</v>
      </c>
      <c r="B117" s="81">
        <f t="shared" si="28"/>
        <v>20</v>
      </c>
      <c r="C117" s="82">
        <f t="shared" si="23"/>
        <v>4.4711876651318097</v>
      </c>
      <c r="D117" s="82">
        <f t="shared" si="24"/>
        <v>3.1609364335315</v>
      </c>
      <c r="E117" s="83">
        <f t="shared" si="25"/>
        <v>1.7795367776722859E-3</v>
      </c>
      <c r="F117" s="84">
        <f t="shared" si="22"/>
        <v>8.7447228987236336E-4</v>
      </c>
      <c r="G117" s="84">
        <f t="shared" si="22"/>
        <v>4.1270971814033608E-4</v>
      </c>
      <c r="H117" s="84">
        <f t="shared" si="22"/>
        <v>1.8713322521307738E-4</v>
      </c>
      <c r="I117" s="84">
        <f t="shared" si="22"/>
        <v>8.1531661466177678E-5</v>
      </c>
      <c r="J117" s="84">
        <f t="shared" si="22"/>
        <v>3.413337499658073E-5</v>
      </c>
      <c r="K117" s="84">
        <f t="shared" si="22"/>
        <v>1.3730560806624406E-5</v>
      </c>
      <c r="L117" s="84">
        <f t="shared" si="22"/>
        <v>5.3066121109509557E-6</v>
      </c>
      <c r="M117" s="92">
        <f t="shared" si="29"/>
        <v>0.10512000000000001</v>
      </c>
      <c r="N117" s="83">
        <f t="shared" si="31"/>
        <v>5.3796978713387818E-44</v>
      </c>
      <c r="O117" s="92">
        <f t="shared" si="26"/>
        <v>0</v>
      </c>
      <c r="P117" s="83">
        <f t="shared" si="30"/>
        <v>1.0046965109692149E-164</v>
      </c>
      <c r="Q117" s="71"/>
    </row>
    <row r="118" spans="1:17">
      <c r="A118" s="81">
        <f t="shared" si="27"/>
        <v>13.599999999999984</v>
      </c>
      <c r="B118" s="81">
        <f t="shared" si="28"/>
        <v>20</v>
      </c>
      <c r="C118" s="82">
        <f t="shared" si="23"/>
        <v>4.4711735100283772</v>
      </c>
      <c r="D118" s="82">
        <f t="shared" si="24"/>
        <v>3.1609164109130568</v>
      </c>
      <c r="E118" s="83">
        <f t="shared" si="25"/>
        <v>1.5184538153283356E-3</v>
      </c>
      <c r="F118" s="84">
        <f t="shared" si="22"/>
        <v>7.3929040173292826E-4</v>
      </c>
      <c r="G118" s="84">
        <f t="shared" si="22"/>
        <v>3.4572557744279775E-4</v>
      </c>
      <c r="H118" s="84">
        <f t="shared" si="22"/>
        <v>1.5533729936325911E-4</v>
      </c>
      <c r="I118" s="84">
        <f t="shared" si="22"/>
        <v>6.7064807259496303E-5</v>
      </c>
      <c r="J118" s="84">
        <f t="shared" si="22"/>
        <v>2.7821985542649551E-5</v>
      </c>
      <c r="K118" s="84">
        <f t="shared" si="22"/>
        <v>1.1089965623032945E-5</v>
      </c>
      <c r="L118" s="84">
        <f t="shared" si="22"/>
        <v>4.247006802636442E-6</v>
      </c>
      <c r="M118" s="92">
        <f t="shared" si="29"/>
        <v>0.10512000000000001</v>
      </c>
      <c r="N118" s="83">
        <f t="shared" si="31"/>
        <v>1.6794892562194293E-45</v>
      </c>
      <c r="O118" s="92">
        <f t="shared" si="26"/>
        <v>0</v>
      </c>
      <c r="P118" s="83">
        <f t="shared" si="30"/>
        <v>1.2876703611891918E-169</v>
      </c>
      <c r="Q118" s="71"/>
    </row>
    <row r="119" spans="1:17">
      <c r="A119" s="81">
        <f t="shared" si="27"/>
        <v>13.799999999999983</v>
      </c>
      <c r="B119" s="81">
        <f t="shared" si="28"/>
        <v>20</v>
      </c>
      <c r="C119" s="82">
        <f t="shared" si="23"/>
        <v>4.4711593548801325</v>
      </c>
      <c r="D119" s="82">
        <f t="shared" si="24"/>
        <v>3.1608963881677803</v>
      </c>
      <c r="E119" s="83">
        <f t="shared" si="25"/>
        <v>1.2929189152717235E-3</v>
      </c>
      <c r="F119" s="84">
        <f t="shared" si="22"/>
        <v>6.2369407439000213E-4</v>
      </c>
      <c r="G119" s="84">
        <f t="shared" si="22"/>
        <v>2.8900952821175505E-4</v>
      </c>
      <c r="H119" s="84">
        <f t="shared" si="22"/>
        <v>1.2867574964797271E-4</v>
      </c>
      <c r="I119" s="84">
        <f t="shared" si="22"/>
        <v>5.5050216925663918E-5</v>
      </c>
      <c r="J119" s="84">
        <f t="shared" si="22"/>
        <v>2.2630363107946077E-5</v>
      </c>
      <c r="K119" s="84">
        <f t="shared" si="22"/>
        <v>8.9384985390570332E-6</v>
      </c>
      <c r="L119" s="84">
        <f t="shared" si="22"/>
        <v>3.3918662631233638E-6</v>
      </c>
      <c r="M119" s="92">
        <f t="shared" si="29"/>
        <v>0.10512000000000001</v>
      </c>
      <c r="N119" s="83">
        <f t="shared" si="31"/>
        <v>4.9362824171893812E-47</v>
      </c>
      <c r="O119" s="92">
        <f t="shared" si="26"/>
        <v>0</v>
      </c>
      <c r="P119" s="83">
        <f t="shared" si="30"/>
        <v>1.3972859737359435E-174</v>
      </c>
      <c r="Q119" s="71"/>
    </row>
    <row r="120" spans="1:17">
      <c r="A120" s="81">
        <f t="shared" si="27"/>
        <v>13.999999999999982</v>
      </c>
      <c r="B120" s="81">
        <f t="shared" si="28"/>
        <v>20</v>
      </c>
      <c r="C120" s="82">
        <f t="shared" si="23"/>
        <v>4.471145199687073</v>
      </c>
      <c r="D120" s="82">
        <f t="shared" si="24"/>
        <v>3.1608763652956688</v>
      </c>
      <c r="E120" s="83">
        <f t="shared" si="25"/>
        <v>1.0985493777226907E-3</v>
      </c>
      <c r="F120" s="84">
        <f t="shared" ref="F120:L130" si="32">IF(AND($C120&gt;0,$D120=0),0.5*EXP(-$C$12*$A120/$C$16)*(EXP(-($C$13*$A120/$C$16/$C$37+$C$39*F$49)*$C$38)*2*NORMSDIST(-(($C$13*$A120/$C$16/$C$37+$C$39*F$49)/(2*$C120)-$C$38*$C120)*SQRT(2))+EXP(($C$13*$A120/$C$16/$C$37+$C$39*F$49)*$C$38)*2*NORMSDIST(-(($C$13*$A120/$C$16/$C$37+$C$39*F$49)/(2*$C120)+$C$38*$C120)*SQRT(2)))*$C$9,IF($C120=0,0,0.5*EXP(-$C$12*$A120/$C$16)*((EXP(-($C$13*$A120/$C$16/$C$37+$C$39*F$49)*$C$38)*2*NORMSDIST(-(($C$13*$A120/$C$16/$C$37+$C$39*F$49)/(2*$C120)-$C$38*$C120)*SQRT(2))+EXP(($C$13*$A120/$C$16/$C$37+$C$39*F$49)*$C$38)*2*NORMSDIST(-(($C$13*$A120/$C$16/$C$37+$C$39*F$49)/(2*$C120)+$C$38*$C120)*SQRT(2)))-(EXP(-($C$13*$A120/$C$16/$C$37+$C$39*F$49)*$C$38)*2*NORMSDIST(-(($C$13*$A120/$C$16/$C$37+$C$39*F$49)/(2*$D120)-$C$38*$D120)*SQRT(2))+EXP(($C$13*$A120/$C$16/$C$37+$C$39*F$49)*$C$38)*2*NORMSDIST(-(($C$13*$A120/$C$16/$C$37+$C$39*F$49)/(2*$D120)+$C$38*$D120)*SQRT(2))))*$C$9))</f>
        <v>5.2507046979610728E-4</v>
      </c>
      <c r="G120" s="84">
        <f t="shared" si="32"/>
        <v>2.4109458086668618E-4</v>
      </c>
      <c r="H120" s="84">
        <f t="shared" si="32"/>
        <v>1.0636871192424357E-4</v>
      </c>
      <c r="I120" s="84">
        <f t="shared" si="32"/>
        <v>4.5094035401912961E-5</v>
      </c>
      <c r="J120" s="84">
        <f t="shared" si="32"/>
        <v>1.8369147260597071E-5</v>
      </c>
      <c r="K120" s="84">
        <f t="shared" si="32"/>
        <v>7.189370842312966E-6</v>
      </c>
      <c r="L120" s="84">
        <f t="shared" si="32"/>
        <v>2.7032371398309952E-6</v>
      </c>
      <c r="M120" s="92">
        <f t="shared" si="29"/>
        <v>0.10512000000000001</v>
      </c>
      <c r="N120" s="83">
        <f t="shared" si="31"/>
        <v>1.3659124314682759E-48</v>
      </c>
      <c r="O120" s="92">
        <f t="shared" si="26"/>
        <v>0</v>
      </c>
      <c r="P120" s="83">
        <f t="shared" si="30"/>
        <v>1.283731008928124E-179</v>
      </c>
      <c r="Q120" s="71"/>
    </row>
    <row r="121" spans="1:17">
      <c r="A121" s="81">
        <f t="shared" si="27"/>
        <v>14.199999999999982</v>
      </c>
      <c r="B121" s="81">
        <f t="shared" si="28"/>
        <v>20</v>
      </c>
      <c r="C121" s="82">
        <f t="shared" si="23"/>
        <v>4.4711310444492005</v>
      </c>
      <c r="D121" s="82">
        <f t="shared" si="24"/>
        <v>3.1608563422967197</v>
      </c>
      <c r="E121" s="83">
        <f t="shared" si="25"/>
        <v>9.3142856926498041E-4</v>
      </c>
      <c r="F121" s="84">
        <f t="shared" si="32"/>
        <v>4.4111781464728494E-4</v>
      </c>
      <c r="G121" s="84">
        <f t="shared" si="32"/>
        <v>2.0070490676411237E-4</v>
      </c>
      <c r="H121" s="84">
        <f t="shared" si="32"/>
        <v>8.7746004144197365E-5</v>
      </c>
      <c r="I121" s="84">
        <f t="shared" si="32"/>
        <v>3.6861633024589526E-5</v>
      </c>
      <c r="J121" s="84">
        <f t="shared" si="32"/>
        <v>1.4879216914504604E-5</v>
      </c>
      <c r="K121" s="84">
        <f t="shared" si="32"/>
        <v>5.770435807422903E-6</v>
      </c>
      <c r="L121" s="84">
        <f t="shared" si="32"/>
        <v>2.1499022488032863E-6</v>
      </c>
      <c r="M121" s="92">
        <f t="shared" si="29"/>
        <v>0.10512000000000001</v>
      </c>
      <c r="N121" s="83">
        <f t="shared" si="31"/>
        <v>3.558300571063762E-50</v>
      </c>
      <c r="O121" s="92">
        <f t="shared" si="26"/>
        <v>0</v>
      </c>
      <c r="P121" s="83">
        <f t="shared" si="30"/>
        <v>9.9854662070569642E-185</v>
      </c>
      <c r="Q121" s="71"/>
    </row>
    <row r="122" spans="1:17">
      <c r="A122" s="81">
        <f t="shared" si="27"/>
        <v>14.399999999999981</v>
      </c>
      <c r="B122" s="81">
        <f t="shared" si="28"/>
        <v>20</v>
      </c>
      <c r="C122" s="82">
        <f t="shared" si="23"/>
        <v>4.4711168891665132</v>
      </c>
      <c r="D122" s="82">
        <f t="shared" si="24"/>
        <v>3.1608363191709308</v>
      </c>
      <c r="E122" s="83">
        <f t="shared" si="25"/>
        <v>7.8806838289180448E-4</v>
      </c>
      <c r="F122" s="84">
        <f t="shared" si="32"/>
        <v>3.698145230430004E-4</v>
      </c>
      <c r="G122" s="84">
        <f t="shared" si="32"/>
        <v>1.6673402530092681E-4</v>
      </c>
      <c r="H122" s="84">
        <f t="shared" si="32"/>
        <v>7.2233220038409908E-5</v>
      </c>
      <c r="I122" s="84">
        <f t="shared" si="32"/>
        <v>3.0069422471416686E-5</v>
      </c>
      <c r="J122" s="84">
        <f t="shared" si="32"/>
        <v>1.2027192889560595E-5</v>
      </c>
      <c r="K122" s="84">
        <f t="shared" si="32"/>
        <v>4.6218646763006255E-6</v>
      </c>
      <c r="L122" s="84">
        <f t="shared" si="32"/>
        <v>1.7062474258444008E-6</v>
      </c>
      <c r="M122" s="92">
        <f t="shared" si="29"/>
        <v>0.10512000000000001</v>
      </c>
      <c r="N122" s="83">
        <f t="shared" si="31"/>
        <v>8.7268254472505286E-52</v>
      </c>
      <c r="O122" s="92">
        <f t="shared" si="26"/>
        <v>0</v>
      </c>
      <c r="P122" s="83">
        <f t="shared" si="30"/>
        <v>6.5760604776185541E-190</v>
      </c>
      <c r="Q122" s="71"/>
    </row>
    <row r="123" spans="1:17">
      <c r="A123" s="81">
        <f t="shared" si="27"/>
        <v>14.59999999999998</v>
      </c>
      <c r="B123" s="81">
        <f t="shared" si="28"/>
        <v>20</v>
      </c>
      <c r="C123" s="82">
        <f t="shared" si="23"/>
        <v>4.471102733839011</v>
      </c>
      <c r="D123" s="82">
        <f t="shared" si="24"/>
        <v>3.1608162959182993</v>
      </c>
      <c r="E123" s="83">
        <f t="shared" si="25"/>
        <v>6.6537268798549931E-4</v>
      </c>
      <c r="F123" s="84">
        <f t="shared" si="32"/>
        <v>3.0939036374734392E-4</v>
      </c>
      <c r="G123" s="84">
        <f t="shared" si="32"/>
        <v>1.3822496423191203E-4</v>
      </c>
      <c r="H123" s="84">
        <f t="shared" si="32"/>
        <v>5.9339327914973199E-5</v>
      </c>
      <c r="I123" s="84">
        <f t="shared" si="32"/>
        <v>2.4477679886806088E-5</v>
      </c>
      <c r="J123" s="84">
        <f t="shared" si="32"/>
        <v>9.701549334653213E-6</v>
      </c>
      <c r="K123" s="84">
        <f t="shared" si="32"/>
        <v>3.6941643792286652E-6</v>
      </c>
      <c r="L123" s="84">
        <f t="shared" si="32"/>
        <v>1.3513044575444974E-6</v>
      </c>
      <c r="M123" s="92">
        <f t="shared" si="29"/>
        <v>0.10512000000000001</v>
      </c>
      <c r="N123" s="83">
        <f t="shared" si="31"/>
        <v>2.0149345638239844E-53</v>
      </c>
      <c r="O123" s="92">
        <f t="shared" si="26"/>
        <v>0</v>
      </c>
      <c r="P123" s="83">
        <f t="shared" si="30"/>
        <v>3.6666043123726805E-195</v>
      </c>
      <c r="Q123" s="71"/>
    </row>
    <row r="124" spans="1:17">
      <c r="A124" s="81">
        <f t="shared" si="27"/>
        <v>14.799999999999979</v>
      </c>
      <c r="B124" s="81">
        <f t="shared" si="28"/>
        <v>20</v>
      </c>
      <c r="C124" s="82">
        <f t="shared" si="23"/>
        <v>4.4710885784666932</v>
      </c>
      <c r="D124" s="82">
        <f t="shared" si="24"/>
        <v>3.1607962725388226</v>
      </c>
      <c r="E124" s="83">
        <f t="shared" si="25"/>
        <v>5.6060215203634911E-4</v>
      </c>
      <c r="F124" s="84">
        <f t="shared" si="32"/>
        <v>2.5829972166885372E-4</v>
      </c>
      <c r="G124" s="84">
        <f t="shared" si="32"/>
        <v>1.1435230313406539E-4</v>
      </c>
      <c r="H124" s="84">
        <f t="shared" si="32"/>
        <v>4.8645655810812278E-5</v>
      </c>
      <c r="I124" s="84">
        <f t="shared" si="32"/>
        <v>1.988426911864008E-5</v>
      </c>
      <c r="J124" s="84">
        <f t="shared" si="32"/>
        <v>7.8092626014545442E-6</v>
      </c>
      <c r="K124" s="84">
        <f t="shared" si="32"/>
        <v>2.9464901840304195E-6</v>
      </c>
      <c r="L124" s="84">
        <f t="shared" si="32"/>
        <v>1.0679529047421515E-6</v>
      </c>
      <c r="M124" s="92">
        <f t="shared" si="29"/>
        <v>0.10512000000000001</v>
      </c>
      <c r="N124" s="83">
        <f t="shared" si="31"/>
        <v>4.3797956248580861E-55</v>
      </c>
      <c r="O124" s="92">
        <f t="shared" si="26"/>
        <v>0</v>
      </c>
      <c r="P124" s="83">
        <f t="shared" si="30"/>
        <v>1.7308555939016276E-200</v>
      </c>
      <c r="Q124" s="71"/>
    </row>
    <row r="125" spans="1:17">
      <c r="A125" s="81">
        <f t="shared" si="27"/>
        <v>14.999999999999979</v>
      </c>
      <c r="B125" s="81">
        <f t="shared" si="28"/>
        <v>20</v>
      </c>
      <c r="C125" s="82">
        <f t="shared" si="23"/>
        <v>4.4710744230495605</v>
      </c>
      <c r="D125" s="82">
        <f t="shared" si="24"/>
        <v>3.1607762490324993</v>
      </c>
      <c r="E125" s="83">
        <f t="shared" si="25"/>
        <v>4.713407445504636E-4</v>
      </c>
      <c r="F125" s="84">
        <f t="shared" si="32"/>
        <v>2.151969500394869E-4</v>
      </c>
      <c r="G125" s="84">
        <f t="shared" si="32"/>
        <v>9.4405996835920206E-5</v>
      </c>
      <c r="H125" s="84">
        <f t="shared" si="32"/>
        <v>3.9796145023421565E-5</v>
      </c>
      <c r="I125" s="84">
        <f t="shared" si="32"/>
        <v>1.6119173695214654E-5</v>
      </c>
      <c r="J125" s="84">
        <f t="shared" si="32"/>
        <v>6.272931442508313E-6</v>
      </c>
      <c r="K125" s="84">
        <f t="shared" si="32"/>
        <v>2.3452177067808641E-6</v>
      </c>
      <c r="L125" s="84">
        <f t="shared" si="32"/>
        <v>8.4224416533268169E-7</v>
      </c>
      <c r="M125" s="92">
        <f t="shared" si="29"/>
        <v>0.10512000000000001</v>
      </c>
      <c r="N125" s="83">
        <f t="shared" si="31"/>
        <v>8.9625656823552835E-57</v>
      </c>
      <c r="O125" s="92">
        <f t="shared" si="26"/>
        <v>0</v>
      </c>
      <c r="P125" s="83">
        <f t="shared" si="30"/>
        <v>6.9175771682662907E-206</v>
      </c>
      <c r="Q125" s="71"/>
    </row>
    <row r="126" spans="1:17">
      <c r="A126" s="81">
        <f t="shared" si="27"/>
        <v>15.199999999999978</v>
      </c>
      <c r="B126" s="81">
        <f t="shared" si="28"/>
        <v>20</v>
      </c>
      <c r="C126" s="82">
        <f t="shared" si="23"/>
        <v>4.4710602675876103</v>
      </c>
      <c r="D126" s="82">
        <f t="shared" si="24"/>
        <v>3.160756225399326</v>
      </c>
      <c r="E126" s="83">
        <f t="shared" si="25"/>
        <v>3.9546410499368822E-4</v>
      </c>
      <c r="F126" s="84">
        <f t="shared" si="32"/>
        <v>1.7891378950345594E-4</v>
      </c>
      <c r="G126" s="84">
        <f t="shared" si="32"/>
        <v>7.7776866704549216E-5</v>
      </c>
      <c r="H126" s="84">
        <f t="shared" si="32"/>
        <v>3.2488757979554256E-5</v>
      </c>
      <c r="I126" s="84">
        <f t="shared" si="32"/>
        <v>1.3039748057694331E-5</v>
      </c>
      <c r="J126" s="84">
        <f t="shared" si="32"/>
        <v>5.028310952111299E-6</v>
      </c>
      <c r="K126" s="84">
        <f t="shared" si="32"/>
        <v>1.8627304031819842E-6</v>
      </c>
      <c r="L126" s="84">
        <f t="shared" si="32"/>
        <v>6.6284294141794877E-7</v>
      </c>
      <c r="M126" s="92">
        <f t="shared" si="29"/>
        <v>0.10512000000000001</v>
      </c>
      <c r="N126" s="83">
        <f t="shared" si="31"/>
        <v>1.7266087861766529E-58</v>
      </c>
      <c r="O126" s="92">
        <f t="shared" si="26"/>
        <v>0</v>
      </c>
      <c r="P126" s="83">
        <f t="shared" si="30"/>
        <v>2.3406770681346322E-211</v>
      </c>
      <c r="Q126" s="71"/>
    </row>
    <row r="127" spans="1:17">
      <c r="A127" s="81">
        <f t="shared" si="27"/>
        <v>15.399999999999977</v>
      </c>
      <c r="B127" s="81">
        <f t="shared" si="28"/>
        <v>20</v>
      </c>
      <c r="C127" s="82">
        <f t="shared" si="23"/>
        <v>4.4710461120808445</v>
      </c>
      <c r="D127" s="82">
        <f t="shared" si="24"/>
        <v>3.1607362016393008</v>
      </c>
      <c r="E127" s="83">
        <f t="shared" si="25"/>
        <v>3.3110992841050121E-4</v>
      </c>
      <c r="F127" s="84">
        <f t="shared" si="32"/>
        <v>1.4843878881328293E-4</v>
      </c>
      <c r="G127" s="84">
        <f t="shared" si="32"/>
        <v>6.3943642232539266E-5</v>
      </c>
      <c r="H127" s="84">
        <f t="shared" si="32"/>
        <v>2.6467930899096742E-5</v>
      </c>
      <c r="I127" s="84">
        <f t="shared" si="32"/>
        <v>1.0526606952186319E-5</v>
      </c>
      <c r="J127" s="84">
        <f t="shared" si="32"/>
        <v>4.0222053472536697E-6</v>
      </c>
      <c r="K127" s="84">
        <f t="shared" si="32"/>
        <v>1.4764040518278741E-6</v>
      </c>
      <c r="L127" s="84">
        <f t="shared" si="32"/>
        <v>5.2055812592035622E-7</v>
      </c>
      <c r="M127" s="92">
        <f t="shared" si="29"/>
        <v>0.10512000000000001</v>
      </c>
      <c r="N127" s="83">
        <f t="shared" si="31"/>
        <v>3.1313832323360046E-60</v>
      </c>
      <c r="O127" s="92">
        <f t="shared" si="26"/>
        <v>0</v>
      </c>
      <c r="P127" s="83">
        <f t="shared" si="30"/>
        <v>6.7053477454943264E-217</v>
      </c>
      <c r="Q127" s="71"/>
    </row>
    <row r="128" spans="1:17">
      <c r="A128" s="81">
        <f t="shared" si="27"/>
        <v>15.599999999999977</v>
      </c>
      <c r="B128" s="81">
        <f t="shared" si="28"/>
        <v>20</v>
      </c>
      <c r="C128" s="82">
        <f t="shared" si="23"/>
        <v>4.4710319565292611</v>
      </c>
      <c r="D128" s="82">
        <f t="shared" si="24"/>
        <v>3.1607161777524211</v>
      </c>
      <c r="E128" s="83">
        <f t="shared" si="25"/>
        <v>2.7665042425193418E-4</v>
      </c>
      <c r="F128" s="84">
        <f t="shared" si="32"/>
        <v>1.2289864489206924E-4</v>
      </c>
      <c r="G128" s="84">
        <f t="shared" si="32"/>
        <v>5.2461434161776583E-5</v>
      </c>
      <c r="H128" s="84">
        <f t="shared" si="32"/>
        <v>2.1517966844946048E-5</v>
      </c>
      <c r="I128" s="84">
        <f t="shared" si="32"/>
        <v>8.4800789800769562E-6</v>
      </c>
      <c r="J128" s="84">
        <f t="shared" si="32"/>
        <v>3.2106749388322911E-6</v>
      </c>
      <c r="K128" s="84">
        <f t="shared" si="32"/>
        <v>1.1677456071734823E-6</v>
      </c>
      <c r="L128" s="84">
        <f t="shared" si="32"/>
        <v>4.079561571608993E-7</v>
      </c>
      <c r="M128" s="92">
        <f t="shared" si="29"/>
        <v>0.10512000000000001</v>
      </c>
      <c r="N128" s="83">
        <f t="shared" si="31"/>
        <v>5.3463436475765082E-62</v>
      </c>
      <c r="O128" s="92">
        <f t="shared" si="26"/>
        <v>0</v>
      </c>
      <c r="P128" s="83">
        <f t="shared" si="30"/>
        <v>1.626265734885646E-222</v>
      </c>
      <c r="Q128" s="71"/>
    </row>
    <row r="129" spans="1:17">
      <c r="A129" s="81">
        <f t="shared" si="27"/>
        <v>15.799999999999976</v>
      </c>
      <c r="B129" s="81">
        <f t="shared" si="28"/>
        <v>20</v>
      </c>
      <c r="C129" s="82">
        <f t="shared" si="23"/>
        <v>4.4710178009328603</v>
      </c>
      <c r="D129" s="82">
        <f t="shared" si="24"/>
        <v>3.1606961537386846</v>
      </c>
      <c r="E129" s="83">
        <f t="shared" si="25"/>
        <v>2.3066687738583063E-4</v>
      </c>
      <c r="F129" s="84">
        <f t="shared" si="32"/>
        <v>1.015413633880357E-4</v>
      </c>
      <c r="G129" s="84">
        <f t="shared" si="32"/>
        <v>4.2951520497301627E-5</v>
      </c>
      <c r="H129" s="84">
        <f t="shared" si="32"/>
        <v>1.7457272458868586E-5</v>
      </c>
      <c r="I129" s="84">
        <f t="shared" si="32"/>
        <v>6.8171546028778446E-6</v>
      </c>
      <c r="J129" s="84">
        <f t="shared" si="32"/>
        <v>2.5575137861492539E-6</v>
      </c>
      <c r="K129" s="84">
        <f t="shared" si="32"/>
        <v>9.216766414085444E-7</v>
      </c>
      <c r="L129" s="84">
        <f t="shared" si="32"/>
        <v>3.1903835439690904E-7</v>
      </c>
      <c r="M129" s="92">
        <f t="shared" si="29"/>
        <v>0.10512000000000001</v>
      </c>
      <c r="N129" s="83">
        <f t="shared" si="31"/>
        <v>8.5931755393506521E-64</v>
      </c>
      <c r="O129" s="92">
        <f t="shared" si="26"/>
        <v>0</v>
      </c>
      <c r="P129" s="83">
        <f t="shared" si="30"/>
        <v>3.3392602959576919E-228</v>
      </c>
      <c r="Q129" s="71"/>
    </row>
    <row r="130" spans="1:17">
      <c r="A130" s="81">
        <f t="shared" si="27"/>
        <v>15.999999999999975</v>
      </c>
      <c r="B130" s="81">
        <f t="shared" si="28"/>
        <v>20</v>
      </c>
      <c r="C130" s="82">
        <f t="shared" si="23"/>
        <v>4.471003645291642</v>
      </c>
      <c r="D130" s="82">
        <f t="shared" si="24"/>
        <v>3.1606761295980883</v>
      </c>
      <c r="E130" s="83">
        <f t="shared" si="25"/>
        <v>1.9192628840709205E-4</v>
      </c>
      <c r="F130" s="84">
        <f t="shared" si="32"/>
        <v>8.3721130554793505E-5</v>
      </c>
      <c r="G130" s="84">
        <f t="shared" si="32"/>
        <v>3.5092329468846921E-5</v>
      </c>
      <c r="H130" s="84">
        <f t="shared" si="32"/>
        <v>1.4133345775181962E-5</v>
      </c>
      <c r="I130" s="84">
        <f t="shared" si="32"/>
        <v>5.4688704470890972E-6</v>
      </c>
      <c r="J130" s="84">
        <f t="shared" si="32"/>
        <v>2.0329584466448518E-6</v>
      </c>
      <c r="K130" s="84">
        <f t="shared" si="32"/>
        <v>7.2593096057924716E-7</v>
      </c>
      <c r="L130" s="84">
        <f t="shared" si="32"/>
        <v>2.4897570869473239E-7</v>
      </c>
      <c r="M130" s="92">
        <f t="shared" si="29"/>
        <v>0.10512000000000001</v>
      </c>
      <c r="N130" s="83">
        <f t="shared" si="31"/>
        <v>1.3002430556049311E-65</v>
      </c>
      <c r="O130" s="92">
        <f t="shared" si="26"/>
        <v>0</v>
      </c>
      <c r="P130" s="83">
        <f t="shared" si="30"/>
        <v>5.8049143570944524E-234</v>
      </c>
      <c r="Q130" s="71"/>
    </row>
  </sheetData>
  <mergeCells count="10">
    <mergeCell ref="F48:L48"/>
    <mergeCell ref="E7:J7"/>
    <mergeCell ref="E47:L47"/>
    <mergeCell ref="K7:P7"/>
    <mergeCell ref="D31:D32"/>
    <mergeCell ref="D33:D34"/>
    <mergeCell ref="R7:W7"/>
    <mergeCell ref="X7:AC7"/>
    <mergeCell ref="R5:AB5"/>
    <mergeCell ref="E5:P5"/>
  </mergeCells>
  <phoneticPr fontId="7" type="noConversion"/>
  <conditionalFormatting sqref="C4">
    <cfRule type="expression" dxfId="86" priority="53">
      <formula>$C$3="no"</formula>
    </cfRule>
  </conditionalFormatting>
  <conditionalFormatting sqref="C23:C24">
    <cfRule type="expression" dxfId="85" priority="92">
      <formula>$C$3="yes"</formula>
    </cfRule>
  </conditionalFormatting>
  <conditionalFormatting sqref="C18">
    <cfRule type="expression" dxfId="84" priority="94">
      <formula>$C$4="yes"</formula>
    </cfRule>
  </conditionalFormatting>
  <conditionalFormatting sqref="C30">
    <cfRule type="expression" dxfId="83" priority="97">
      <formula>$C$3="yes"</formula>
    </cfRule>
  </conditionalFormatting>
  <conditionalFormatting sqref="C34">
    <cfRule type="expression" dxfId="82" priority="10">
      <formula>$C$4="no"</formula>
    </cfRule>
  </conditionalFormatting>
  <conditionalFormatting sqref="C33">
    <cfRule type="expression" dxfId="81" priority="8">
      <formula>$C$4="no"</formula>
    </cfRule>
    <cfRule type="expression" dxfId="80" priority="102">
      <formula>$E$34</formula>
    </cfRule>
  </conditionalFormatting>
  <conditionalFormatting sqref="C32">
    <cfRule type="expression" dxfId="79" priority="106">
      <formula>$C$4="no"</formula>
    </cfRule>
    <cfRule type="expression" dxfId="78" priority="107" stopIfTrue="1">
      <formula>$C$4="yes"</formula>
    </cfRule>
    <cfRule type="expression" dxfId="77" priority="108">
      <formula>$E$31</formula>
    </cfRule>
  </conditionalFormatting>
  <conditionalFormatting sqref="C31">
    <cfRule type="expression" dxfId="76" priority="120">
      <formula>$C$3="no"</formula>
    </cfRule>
    <cfRule type="expression" dxfId="75" priority="121">
      <formula>$E$32</formula>
    </cfRule>
  </conditionalFormatting>
  <conditionalFormatting sqref="C25:C27">
    <cfRule type="expression" dxfId="74" priority="20">
      <formula>$C$3="yes"</formula>
    </cfRule>
  </conditionalFormatting>
  <conditionalFormatting sqref="C25:C27">
    <cfRule type="expression" dxfId="73" priority="19">
      <formula>$C$4="yes"</formula>
    </cfRule>
  </conditionalFormatting>
  <conditionalFormatting sqref="C15:C16">
    <cfRule type="expression" dxfId="72" priority="17">
      <formula>$C$3="yes"</formula>
    </cfRule>
  </conditionalFormatting>
  <conditionalFormatting sqref="C17">
    <cfRule type="expression" dxfId="71" priority="16">
      <formula>$C$4="yes"</formula>
    </cfRule>
  </conditionalFormatting>
  <conditionalFormatting sqref="C13">
    <cfRule type="expression" dxfId="70" priority="15">
      <formula>$C$3="yes"</formula>
    </cfRule>
  </conditionalFormatting>
  <conditionalFormatting sqref="E33">
    <cfRule type="expression" dxfId="69" priority="99">
      <formula>$B$33</formula>
    </cfRule>
    <cfRule type="expression" dxfId="68" priority="100">
      <formula>$B$33</formula>
    </cfRule>
  </conditionalFormatting>
  <conditionalFormatting sqref="C34">
    <cfRule type="expression" dxfId="67" priority="14">
      <formula>$E$33</formula>
    </cfRule>
  </conditionalFormatting>
  <conditionalFormatting sqref="D31:D32">
    <cfRule type="expression" dxfId="66" priority="6">
      <formula>$C$3="yes"</formula>
    </cfRule>
  </conditionalFormatting>
  <conditionalFormatting sqref="D33:D34">
    <cfRule type="expression" dxfId="65" priority="5">
      <formula>$C$4="no"</formula>
    </cfRule>
  </conditionalFormatting>
  <conditionalFormatting sqref="C45 C42">
    <cfRule type="expression" dxfId="64" priority="4">
      <formula>$E$44</formula>
    </cfRule>
  </conditionalFormatting>
  <conditionalFormatting sqref="C43:C44">
    <cfRule type="expression" dxfId="63" priority="3">
      <formula>$E$45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C129"/>
  <sheetViews>
    <sheetView zoomScale="70" zoomScaleNormal="70" workbookViewId="0">
      <selection activeCell="F39" sqref="F39"/>
    </sheetView>
  </sheetViews>
  <sheetFormatPr defaultColWidth="9.109375" defaultRowHeight="13.2"/>
  <cols>
    <col min="1" max="1" width="28.33203125" style="33" bestFit="1" customWidth="1"/>
    <col min="2" max="2" width="14.6640625" style="33" customWidth="1"/>
    <col min="3" max="3" width="9.44140625" style="33" bestFit="1" customWidth="1"/>
    <col min="4" max="4" width="15.6640625" style="33" bestFit="1" customWidth="1"/>
    <col min="5" max="5" width="9.33203125" style="33" bestFit="1" customWidth="1"/>
    <col min="6" max="6" width="12.5546875" style="33" bestFit="1" customWidth="1"/>
    <col min="7" max="11" width="9.33203125" style="33" bestFit="1" customWidth="1"/>
    <col min="12" max="12" width="11.88671875" style="33" bestFit="1" customWidth="1"/>
    <col min="13" max="13" width="9.33203125" style="33" bestFit="1" customWidth="1"/>
    <col min="14" max="14" width="14.88671875" style="33" bestFit="1" customWidth="1"/>
    <col min="15" max="15" width="9.109375" style="33"/>
    <col min="16" max="16" width="17" style="33" bestFit="1" customWidth="1"/>
    <col min="17" max="17" width="6.88671875" style="33" customWidth="1"/>
    <col min="18" max="22" width="9.109375" style="33"/>
    <col min="23" max="23" width="14" style="33" customWidth="1"/>
    <col min="24" max="28" width="9.109375" style="33"/>
    <col min="29" max="29" width="12.33203125" style="33" customWidth="1"/>
    <col min="30" max="16384" width="9.109375" style="33"/>
  </cols>
  <sheetData>
    <row r="1" spans="1:29" ht="17.399999999999999">
      <c r="A1" s="93" t="s">
        <v>49</v>
      </c>
      <c r="B1" s="32"/>
      <c r="C1" s="32"/>
      <c r="D1" s="32"/>
    </row>
    <row r="2" spans="1:29" ht="17.399999999999999">
      <c r="A2" s="34" t="s">
        <v>77</v>
      </c>
      <c r="B2" s="35"/>
      <c r="C2" s="35"/>
      <c r="D2" s="32"/>
    </row>
    <row r="3" spans="1:29" ht="17.399999999999999">
      <c r="A3" s="94" t="s">
        <v>70</v>
      </c>
      <c r="B3" s="36"/>
      <c r="C3" s="37" t="s">
        <v>66</v>
      </c>
      <c r="D3" s="32"/>
    </row>
    <row r="4" spans="1:29" ht="17.399999999999999">
      <c r="A4" s="94" t="str">
        <f>IF(C3="yes","","Advection in low-permeability media (yes/no)")</f>
        <v/>
      </c>
      <c r="B4" s="36"/>
      <c r="C4" s="38"/>
      <c r="D4" s="32"/>
    </row>
    <row r="5" spans="1:29" ht="17.399999999999999">
      <c r="A5" s="32"/>
      <c r="B5" s="32"/>
      <c r="C5" s="32"/>
      <c r="D5" s="32"/>
      <c r="E5" s="112" t="s">
        <v>62</v>
      </c>
      <c r="F5" s="112"/>
      <c r="G5" s="112"/>
      <c r="H5" s="112"/>
      <c r="I5" s="112"/>
      <c r="J5" s="112"/>
      <c r="K5" s="112"/>
      <c r="L5" s="112"/>
      <c r="M5" s="112"/>
      <c r="N5" s="112"/>
      <c r="O5" s="112"/>
      <c r="Q5" s="112" t="s">
        <v>63</v>
      </c>
      <c r="R5" s="112"/>
      <c r="S5" s="112"/>
      <c r="T5" s="112"/>
      <c r="U5" s="112"/>
      <c r="V5" s="112"/>
      <c r="W5" s="112"/>
      <c r="X5" s="112"/>
      <c r="Y5" s="112"/>
      <c r="Z5" s="112"/>
      <c r="AA5" s="112"/>
    </row>
    <row r="6" spans="1:29" ht="17.399999999999999">
      <c r="A6" s="32"/>
      <c r="B6" s="32"/>
      <c r="C6" s="32"/>
      <c r="D6" s="32"/>
    </row>
    <row r="7" spans="1:29" ht="15.6">
      <c r="A7" s="34" t="s">
        <v>4</v>
      </c>
      <c r="B7" s="35"/>
      <c r="C7" s="35"/>
      <c r="E7" s="111" t="str">
        <f>CONCATENATE("Concentration in low-permeability media at depth ",$C$44," meters")</f>
        <v>Concentration in low-permeability media at depth 5 meters</v>
      </c>
      <c r="F7" s="111"/>
      <c r="G7" s="111"/>
      <c r="H7" s="111"/>
      <c r="I7" s="111"/>
      <c r="J7" s="111"/>
      <c r="K7" s="111" t="str">
        <f>CONCATENATE("Concentration in low-permeability media at time ",$B$49," years")</f>
        <v>Concentration in low-permeability media at time 0 years</v>
      </c>
      <c r="L7" s="111"/>
      <c r="M7" s="111"/>
      <c r="N7" s="111"/>
      <c r="O7" s="111"/>
      <c r="P7" s="111"/>
      <c r="R7" s="111" t="str">
        <f>CONCATENATE("Concentration in low-permeability media at depth ",$C$44," meters")</f>
        <v>Concentration in low-permeability media at depth 5 meters</v>
      </c>
      <c r="S7" s="111"/>
      <c r="T7" s="111"/>
      <c r="U7" s="111"/>
      <c r="V7" s="111"/>
      <c r="W7" s="111"/>
      <c r="X7" s="111" t="str">
        <f>CONCATENATE("Concentration in low-permeability media at time ",$B$49," years")</f>
        <v>Concentration in low-permeability media at time 0 years</v>
      </c>
      <c r="Y7" s="111"/>
      <c r="Z7" s="111"/>
      <c r="AA7" s="111"/>
      <c r="AB7" s="111"/>
      <c r="AC7" s="111"/>
    </row>
    <row r="8" spans="1:29" s="41" customFormat="1" ht="15.75" customHeight="1">
      <c r="A8" s="34" t="s">
        <v>74</v>
      </c>
      <c r="B8" s="35"/>
      <c r="C8" s="35"/>
      <c r="D8" s="40"/>
    </row>
    <row r="9" spans="1:29" s="41" customFormat="1" ht="15.75" customHeight="1">
      <c r="A9" s="36" t="s">
        <v>13</v>
      </c>
      <c r="B9" s="42" t="s">
        <v>35</v>
      </c>
      <c r="C9" s="43">
        <v>1</v>
      </c>
      <c r="D9" s="40"/>
    </row>
    <row r="10" spans="1:29" s="41" customFormat="1" ht="15.75" customHeight="1">
      <c r="A10" s="36" t="s">
        <v>16</v>
      </c>
      <c r="B10" s="44" t="s">
        <v>3</v>
      </c>
      <c r="C10" s="43">
        <v>0.3</v>
      </c>
      <c r="D10" s="40"/>
    </row>
    <row r="11" spans="1:29" s="41" customFormat="1" ht="15.75" customHeight="1">
      <c r="A11" s="36" t="s">
        <v>17</v>
      </c>
      <c r="B11" s="42" t="s">
        <v>43</v>
      </c>
      <c r="C11" s="43">
        <v>6.0000000000000001E-3</v>
      </c>
      <c r="D11" s="40"/>
    </row>
    <row r="12" spans="1:29" s="41" customFormat="1" ht="15.75" customHeight="1">
      <c r="A12" s="36" t="s">
        <v>18</v>
      </c>
      <c r="B12" s="44" t="s">
        <v>39</v>
      </c>
      <c r="C12" s="43">
        <v>0</v>
      </c>
      <c r="D12" s="40"/>
    </row>
    <row r="13" spans="1:29" s="41" customFormat="1" ht="15.75" customHeight="1">
      <c r="A13" s="36" t="s">
        <v>19</v>
      </c>
      <c r="B13" s="42" t="s">
        <v>41</v>
      </c>
      <c r="C13" s="45">
        <v>1</v>
      </c>
      <c r="D13" s="40"/>
    </row>
    <row r="14" spans="1:29" s="41" customFormat="1" ht="15.75" customHeight="1">
      <c r="A14" s="36" t="s">
        <v>0</v>
      </c>
      <c r="B14" s="42" t="s">
        <v>40</v>
      </c>
      <c r="C14" s="43">
        <v>1</v>
      </c>
      <c r="D14" s="40"/>
    </row>
    <row r="15" spans="1:29" s="41" customFormat="1" ht="15.75" customHeight="1">
      <c r="A15" s="36" t="s">
        <v>14</v>
      </c>
      <c r="B15" s="42" t="s">
        <v>37</v>
      </c>
      <c r="C15" s="72">
        <f>IF($C$3="yes",C23,"")</f>
        <v>2.5146942977101937E-5</v>
      </c>
      <c r="D15" s="40"/>
    </row>
    <row r="16" spans="1:29" s="41" customFormat="1" ht="15.75" customHeight="1">
      <c r="A16" s="36" t="s">
        <v>20</v>
      </c>
      <c r="B16" s="42" t="s">
        <v>34</v>
      </c>
      <c r="C16" s="73">
        <f>IF($C$3="yes",C15^2*1000*9.81/(12*0.0013)*C26*3600*24*365,"")</f>
        <v>1254.0689350874909</v>
      </c>
      <c r="D16" s="40"/>
    </row>
    <row r="17" spans="1:5" s="41" customFormat="1" ht="15.75" customHeight="1">
      <c r="A17" s="36" t="s">
        <v>45</v>
      </c>
      <c r="B17" s="42" t="s">
        <v>46</v>
      </c>
      <c r="C17" s="74">
        <f>IF(C4="no","",C24*C26*3600*24*365/C10)</f>
        <v>0.10512000000000001</v>
      </c>
      <c r="D17" s="40"/>
    </row>
    <row r="18" spans="1:5" s="41" customFormat="1" ht="15.75" customHeight="1">
      <c r="A18" s="36" t="s">
        <v>68</v>
      </c>
      <c r="B18" s="42" t="s">
        <v>69</v>
      </c>
      <c r="C18" s="31">
        <v>0.1</v>
      </c>
      <c r="D18" s="47"/>
    </row>
    <row r="19" spans="1:5" s="41" customFormat="1" ht="15.75" customHeight="1">
      <c r="D19" s="47"/>
    </row>
    <row r="20" spans="1:5" s="41" customFormat="1" ht="15.75" customHeight="1">
      <c r="A20" s="34" t="s">
        <v>72</v>
      </c>
      <c r="B20" s="35"/>
      <c r="C20" s="35"/>
      <c r="D20" s="47"/>
    </row>
    <row r="21" spans="1:5" s="41" customFormat="1" ht="15.75" customHeight="1">
      <c r="A21" s="48" t="s">
        <v>79</v>
      </c>
      <c r="B21" s="35"/>
      <c r="C21" s="35"/>
      <c r="D21" s="47"/>
    </row>
    <row r="22" spans="1:5" s="41" customFormat="1" ht="15.75" customHeight="1">
      <c r="A22" s="36" t="s">
        <v>15</v>
      </c>
      <c r="B22" s="42" t="s">
        <v>38</v>
      </c>
      <c r="C22" s="75">
        <f>IF(C3="yes",C29,"")</f>
        <v>1</v>
      </c>
      <c r="D22" s="40"/>
    </row>
    <row r="23" spans="1:5" s="41" customFormat="1" ht="15.75" customHeight="1">
      <c r="A23" s="36" t="s">
        <v>14</v>
      </c>
      <c r="B23" s="42" t="s">
        <v>37</v>
      </c>
      <c r="C23" s="76">
        <f>IF(C3="yes",IF(ISBLANK($C$30)=FALSE,$C$30,($C$31*12*0.0013*$C$29/(1000*9.81))^(1/3)),"")</f>
        <v>2.5146942977101937E-5</v>
      </c>
      <c r="D23" s="40"/>
    </row>
    <row r="24" spans="1:5" s="41" customFormat="1" ht="15.75" customHeight="1">
      <c r="A24" s="36" t="s">
        <v>22</v>
      </c>
      <c r="B24" s="42" t="s">
        <v>48</v>
      </c>
      <c r="C24" s="77">
        <f>IF($C$4="no","",IF(ISBLANK($C$31)=FALSE,$C$31,1000*9.81*$C$23^(3)/(12*0.0013*$C$22)))</f>
        <v>1E-8</v>
      </c>
      <c r="D24" s="40"/>
    </row>
    <row r="25" spans="1:5" s="41" customFormat="1" ht="15.75" customHeight="1">
      <c r="A25" s="36" t="s">
        <v>2</v>
      </c>
      <c r="B25" s="42" t="s">
        <v>36</v>
      </c>
      <c r="C25" s="78">
        <f>IF($C$4="no","",IF(ISBLANK($C$32)=FALSE,$C$32,$C$24*$C$33*3600*24*365*1000))</f>
        <v>31.536000000000001</v>
      </c>
      <c r="D25" s="40"/>
    </row>
    <row r="26" spans="1:5" s="41" customFormat="1" ht="15.75" customHeight="1">
      <c r="A26" s="36" t="s">
        <v>23</v>
      </c>
      <c r="B26" s="42" t="s">
        <v>47</v>
      </c>
      <c r="C26" s="74">
        <f>IF($C$4="no","",IF(ISBLANK($C$33)=FALSE,$C$33,C25/1000/3600/24/365/$C$24))</f>
        <v>0.1</v>
      </c>
      <c r="D26" s="47"/>
    </row>
    <row r="27" spans="1:5" s="41" customFormat="1" ht="15.75" customHeight="1">
      <c r="D27" s="40"/>
    </row>
    <row r="28" spans="1:5" s="41" customFormat="1" ht="15.75" customHeight="1">
      <c r="A28" s="34" t="s">
        <v>73</v>
      </c>
      <c r="B28" s="35"/>
      <c r="C28" s="35"/>
      <c r="D28" s="40"/>
    </row>
    <row r="29" spans="1:5" s="41" customFormat="1" ht="15.75" customHeight="1">
      <c r="A29" s="36" t="s">
        <v>15</v>
      </c>
      <c r="B29" s="42" t="s">
        <v>38</v>
      </c>
      <c r="C29" s="45">
        <v>1</v>
      </c>
      <c r="D29" s="40"/>
    </row>
    <row r="30" spans="1:5" s="41" customFormat="1" ht="15.75" customHeight="1">
      <c r="A30" s="36" t="s">
        <v>14</v>
      </c>
      <c r="B30" s="42" t="s">
        <v>37</v>
      </c>
      <c r="C30" s="49"/>
      <c r="D30" s="109" t="s">
        <v>78</v>
      </c>
      <c r="E30" s="79" t="b">
        <f>ISBLANK(C30)</f>
        <v>1</v>
      </c>
    </row>
    <row r="31" spans="1:5" s="41" customFormat="1" ht="15.75" customHeight="1">
      <c r="A31" s="36" t="s">
        <v>22</v>
      </c>
      <c r="B31" s="42" t="s">
        <v>48</v>
      </c>
      <c r="C31" s="49">
        <v>1E-8</v>
      </c>
      <c r="D31" s="109"/>
      <c r="E31" s="79" t="b">
        <f>ISBLANK(C31)</f>
        <v>0</v>
      </c>
    </row>
    <row r="32" spans="1:5" s="41" customFormat="1" ht="15.75" customHeight="1">
      <c r="A32" s="36" t="s">
        <v>2</v>
      </c>
      <c r="B32" s="42" t="s">
        <v>36</v>
      </c>
      <c r="C32" s="50"/>
      <c r="D32" s="110" t="s">
        <v>78</v>
      </c>
      <c r="E32" s="79" t="b">
        <f>ISBLANK(C32)</f>
        <v>1</v>
      </c>
    </row>
    <row r="33" spans="1:18" s="41" customFormat="1" ht="15.75" customHeight="1">
      <c r="A33" s="36" t="s">
        <v>23</v>
      </c>
      <c r="B33" s="42" t="s">
        <v>47</v>
      </c>
      <c r="C33" s="31">
        <v>0.1</v>
      </c>
      <c r="D33" s="110"/>
      <c r="E33" s="79" t="b">
        <f>ISBLANK(C33)</f>
        <v>0</v>
      </c>
    </row>
    <row r="34" spans="1:18" s="41" customFormat="1" ht="15.75" customHeight="1">
      <c r="D34" s="95"/>
    </row>
    <row r="35" spans="1:18" ht="15.6">
      <c r="A35" s="34" t="s">
        <v>75</v>
      </c>
      <c r="B35" s="35"/>
      <c r="C35" s="35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1:18">
      <c r="A36" s="36" t="s">
        <v>5</v>
      </c>
      <c r="B36" s="52"/>
      <c r="C36" s="80">
        <f>IF(C3="yes",C15/2*C13/(C10*SQRT(C14*C11)),"")</f>
        <v>5.4107606310190752E-4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s="53" customFormat="1">
      <c r="A37" s="36" t="s">
        <v>8</v>
      </c>
      <c r="B37" s="51"/>
      <c r="C37" s="80">
        <f>IF(C3="yes",SQRT(C12/C14),"")</f>
        <v>0</v>
      </c>
      <c r="D37" s="33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1:18">
      <c r="A38" s="36" t="s">
        <v>1</v>
      </c>
      <c r="B38" s="52"/>
      <c r="C38" s="80">
        <f>IF(C3="yes",SQRT(C14/C11),"")</f>
        <v>12.909944487358056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>
      <c r="A39" s="57"/>
      <c r="B39" s="58"/>
      <c r="C39" s="55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1:18" ht="15.6">
      <c r="A40" s="34" t="s">
        <v>76</v>
      </c>
      <c r="B40" s="35"/>
      <c r="C40" s="35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</row>
    <row r="41" spans="1:18">
      <c r="A41" s="36" t="s">
        <v>51</v>
      </c>
      <c r="B41" s="42" t="s">
        <v>52</v>
      </c>
      <c r="C41" s="55">
        <v>1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</row>
    <row r="42" spans="1:18">
      <c r="A42" s="36" t="s">
        <v>53</v>
      </c>
      <c r="B42" s="42" t="s">
        <v>54</v>
      </c>
      <c r="C42" s="55">
        <v>0.2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</row>
    <row r="43" spans="1:18">
      <c r="A43" s="36" t="s">
        <v>21</v>
      </c>
      <c r="B43" s="46" t="s">
        <v>7</v>
      </c>
      <c r="C43" s="50"/>
      <c r="E43" s="79" t="b">
        <f>ISBLANK(C43)</f>
        <v>1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</row>
    <row r="44" spans="1:18">
      <c r="A44" s="36" t="s">
        <v>11</v>
      </c>
      <c r="B44" s="46" t="s">
        <v>9</v>
      </c>
      <c r="C44" s="56">
        <v>5</v>
      </c>
      <c r="E44" s="79" t="b">
        <f>ISBLANK(C44)</f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  <row r="45" spans="1:18">
      <c r="A45" s="57"/>
      <c r="B45" s="58"/>
      <c r="C45" s="55"/>
      <c r="D45" s="40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</row>
    <row r="46" spans="1:18" ht="13.8">
      <c r="D46" s="114" t="s">
        <v>55</v>
      </c>
      <c r="E46" s="114"/>
      <c r="F46" s="114"/>
      <c r="G46" s="114"/>
      <c r="H46" s="114"/>
      <c r="I46" s="114"/>
      <c r="J46" s="114"/>
      <c r="K46" s="114"/>
      <c r="L46" s="114"/>
      <c r="N46" s="86" t="s">
        <v>56</v>
      </c>
      <c r="P46" s="87" t="s">
        <v>57</v>
      </c>
      <c r="Q46" s="59" t="s">
        <v>60</v>
      </c>
    </row>
    <row r="47" spans="1:18">
      <c r="A47" s="62"/>
      <c r="B47" s="62"/>
      <c r="C47" s="63"/>
      <c r="D47" s="64" t="s">
        <v>26</v>
      </c>
      <c r="E47" s="113" t="s">
        <v>27</v>
      </c>
      <c r="F47" s="113"/>
      <c r="G47" s="113"/>
      <c r="H47" s="113"/>
      <c r="I47" s="113"/>
      <c r="J47" s="113"/>
      <c r="K47" s="113"/>
      <c r="L47" s="64" t="s">
        <v>28</v>
      </c>
      <c r="M47" s="96"/>
      <c r="N47" s="64"/>
      <c r="O47" s="96"/>
      <c r="P47" s="65" t="s">
        <v>58</v>
      </c>
      <c r="Q47" s="65"/>
    </row>
    <row r="48" spans="1:18">
      <c r="A48" s="66" t="s">
        <v>25</v>
      </c>
      <c r="B48" s="66" t="s">
        <v>12</v>
      </c>
      <c r="C48" s="67" t="s">
        <v>6</v>
      </c>
      <c r="D48" s="68"/>
      <c r="E48" s="69">
        <v>0.1</v>
      </c>
      <c r="F48" s="69">
        <v>0.2</v>
      </c>
      <c r="G48" s="69">
        <v>0.3</v>
      </c>
      <c r="H48" s="69">
        <v>0.4</v>
      </c>
      <c r="I48" s="69">
        <v>0.5</v>
      </c>
      <c r="J48" s="69">
        <v>0.6</v>
      </c>
      <c r="K48" s="69">
        <v>0.7</v>
      </c>
      <c r="L48" s="68"/>
      <c r="M48" s="97" t="s">
        <v>64</v>
      </c>
      <c r="N48" s="68"/>
      <c r="O48" s="97" t="s">
        <v>65</v>
      </c>
      <c r="P48" s="70" t="s">
        <v>59</v>
      </c>
      <c r="Q48" s="70"/>
      <c r="R48" s="53"/>
    </row>
    <row r="49" spans="1:17">
      <c r="A49" s="81">
        <f>IF(ISBLANK($C$44),0,$C$44)</f>
        <v>5</v>
      </c>
      <c r="B49" s="81">
        <f>IF(ISBLANK($C$43),0,$C$43)</f>
        <v>0</v>
      </c>
      <c r="C49" s="82">
        <f t="shared" ref="C49:C80" si="0">IF((B49-$C$13/$C$16*A49)&gt;0,SQRT(B49-$C$13/$C$16*A49),0)</f>
        <v>0</v>
      </c>
      <c r="D49" s="83">
        <f t="shared" ref="D49:D80" si="1">IF(C49&gt;0,0.5*EXP(-$C$12*$A49/$C$16)*(EXP(-$C$13*$A49/$C$16*$C$37/$C$36)*2*NORMSDIST(-($C$13*$A49/$C$16/(2*$C$36*$C49)-$C$37*$C49)*SQRT(2))+EXP($C$13*$A49/$C$16*$C$37/$C$36)*2*NORMSDIST(-($C$13*$A49/$C$16/(2*$C$36*$C49)+$C$37*$C49)*SQRT(2)))*$C$9,0)</f>
        <v>0</v>
      </c>
      <c r="E49" s="84">
        <f t="shared" ref="E49:K58" si="2">IF(D49&gt;0,0.5*EXP(-$C$12*$A49/$C$16)*(EXP(-$C$37*($C$13*$A49/$C$16/$C$36+$C$38*E$48))*2*NORMSDIST(-(($C$13*$A49/$C$16/$C$36+$C$38*E$48)/(2*$C49)-$C$37*$C49)*SQRT(2))+EXP($C$37*($C$13*$A49/$C$16/$C$36+$C$38*E$48))*2*NORMSDIST(-(($C$13*$A49/$C$16/$C$36+$C$38*E$48)/(2*$C49)+$C$37*$C49)*SQRT(2)))*$C$9,0)</f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3">
        <f t="shared" ref="L49:L80" si="3">$C$9*EXP($C$12*$A49/$C$16)*EXP(-$C$13*$A49/$C$16*$C$37/$C$36)</f>
        <v>1</v>
      </c>
      <c r="M49" s="82">
        <f>IF($C$17&gt;0,$C$17*(1+4*$C$12*($C$18*$C$17+$C$11)/$C$17^2)^0.5,SQRT(4*$C$12*$C$11))</f>
        <v>0.10512000000000001</v>
      </c>
      <c r="N49" s="83">
        <f>IF($A$49=0,$C$9,0)</f>
        <v>0</v>
      </c>
      <c r="O49" s="82">
        <f t="shared" ref="O49:O80" si="4">SQRT(4*$C$12*$C$11)</f>
        <v>0</v>
      </c>
      <c r="P49" s="83">
        <f>IF($A$49=0,$C$9,0)</f>
        <v>0</v>
      </c>
      <c r="Q49" s="90"/>
    </row>
    <row r="50" spans="1:17">
      <c r="A50" s="81">
        <f t="shared" ref="A50:A81" si="5">IF(ISBLANK($C$44),A49+$C$42,$C$44)</f>
        <v>5</v>
      </c>
      <c r="B50" s="81">
        <f t="shared" ref="B50:B81" si="6">IF(ISBLANK($C$43),B49+$C$41,$C$43)</f>
        <v>1</v>
      </c>
      <c r="C50" s="82">
        <f t="shared" si="0"/>
        <v>0.99800449815912284</v>
      </c>
      <c r="D50" s="83">
        <f t="shared" si="1"/>
        <v>1.780857139155786E-7</v>
      </c>
      <c r="E50" s="84">
        <f t="shared" si="2"/>
        <v>8.4857076735589537E-10</v>
      </c>
      <c r="F50" s="84">
        <f t="shared" si="2"/>
        <v>1.7858227486508164E-12</v>
      </c>
      <c r="G50" s="84">
        <f t="shared" si="2"/>
        <v>1.6528072885795516E-15</v>
      </c>
      <c r="H50" s="84">
        <f t="shared" si="2"/>
        <v>6.7068898965977091E-19</v>
      </c>
      <c r="I50" s="84">
        <f t="shared" si="2"/>
        <v>1.190609482823213E-22</v>
      </c>
      <c r="J50" s="84">
        <f t="shared" si="2"/>
        <v>9.2308111105169241E-27</v>
      </c>
      <c r="K50" s="84">
        <f t="shared" si="2"/>
        <v>3.1215702748004928E-31</v>
      </c>
      <c r="L50" s="83">
        <f t="shared" si="3"/>
        <v>1</v>
      </c>
      <c r="M50" s="82">
        <f>IF($C$17&gt;0,$C$17*(1+4*$C$12*($C$18*$C$17+$C$11)/$C$17^2)^0.5,SQRT(4*$C$12*$C$11))</f>
        <v>0.10512000000000001</v>
      </c>
      <c r="N50" s="83">
        <f>$C$9/2*(EXP(($C$17-$M50)*$A50/(2*($C$18*$C$17+$C$11)))*2*NORMSDIST(-(($C$14*$A50-$M50*$B50)/(2*SQRT(($C$18*$C$17+$C$11)*$C$14*$B50)))*SQRT(2))+EXP(($C$17+$M50)*$A50/(2*($C$18*$C$17+$C$11)))*2*NORMSDIST(-(($C$14*$A50+$M50*$B50)/(2*SQRT(($C$18*$C$17+$C$11)*$C$14*$B50)))*SQRT(2)))</f>
        <v>8.2321136773779872E-160</v>
      </c>
      <c r="O50" s="82">
        <f t="shared" si="4"/>
        <v>0</v>
      </c>
      <c r="P50" s="83">
        <f t="shared" ref="P50:P81" si="7">$C$9/2*(EXP((-$O50)*$A50/(2*($C$11)))*2*NORMSDIST(-(($C$14*$A50-$O50*$B50)/(2*SQRT(($C$11)*$C$14*$B50)))*SQRT(2))+EXP(($O50)*$A50/(2*($C$11)))*2*NORMSDIST(-(($C$14*$A50+$O50*$B50)/(2*SQRT(($C$11)*$C$14*$B50)))*SQRT(2)))</f>
        <v>0</v>
      </c>
      <c r="Q50" s="71"/>
    </row>
    <row r="51" spans="1:17">
      <c r="A51" s="81">
        <f t="shared" si="5"/>
        <v>5</v>
      </c>
      <c r="B51" s="81">
        <f t="shared" si="6"/>
        <v>2</v>
      </c>
      <c r="C51" s="82">
        <f t="shared" si="0"/>
        <v>1.412803234122092</v>
      </c>
      <c r="D51" s="83">
        <f t="shared" si="1"/>
        <v>2.2600342251610783E-4</v>
      </c>
      <c r="E51" s="84">
        <f t="shared" si="2"/>
        <v>1.4631482706306542E-5</v>
      </c>
      <c r="F51" s="84">
        <f t="shared" si="2"/>
        <v>6.348389827159906E-7</v>
      </c>
      <c r="G51" s="84">
        <f t="shared" si="2"/>
        <v>1.8395868577305756E-8</v>
      </c>
      <c r="H51" s="84">
        <f t="shared" si="2"/>
        <v>3.5509303033622138E-10</v>
      </c>
      <c r="I51" s="84">
        <f t="shared" si="2"/>
        <v>4.5570809884337807E-12</v>
      </c>
      <c r="J51" s="84">
        <f t="shared" si="2"/>
        <v>3.8824575364864888E-14</v>
      </c>
      <c r="K51" s="84">
        <f t="shared" si="2"/>
        <v>2.1932846391929632E-16</v>
      </c>
      <c r="L51" s="83">
        <f t="shared" si="3"/>
        <v>1</v>
      </c>
      <c r="M51" s="82">
        <f t="shared" ref="M51:M114" si="8">IF($C$17&gt;0,$C$17*(1+4*$C$12*($C$18*$C$17+$C$11)/$C$17^2)^0.5,SQRT(4*$C$12*$C$11))</f>
        <v>0.10512000000000001</v>
      </c>
      <c r="N51" s="83">
        <f t="shared" ref="N51:N114" si="9">$C$9/2*(EXP(($C$17-$M51)*$A51/(2*($C$18*$C$17+$C$11)))*2*NORMSDIST(-(($C$14*$A51-$M51*$B51)/(2*SQRT(($C$18*$C$17+$C$11)*$C$14*$B51)))*SQRT(2))+EXP(($C$17+$M51)*$A51/(2*($C$18*$C$17+$C$11)))*2*NORMSDIST(-(($C$14*$A51+$M51*$B51)/(2*SQRT(($C$18*$C$17+$C$11)*$C$14*$B51)))*SQRT(2)))</f>
        <v>1.5357911450785944E-77</v>
      </c>
      <c r="O51" s="82">
        <f t="shared" si="4"/>
        <v>0</v>
      </c>
      <c r="P51" s="83">
        <f t="shared" si="7"/>
        <v>1.5762209417500657E-228</v>
      </c>
      <c r="Q51" s="71"/>
    </row>
    <row r="52" spans="1:17">
      <c r="A52" s="81">
        <f t="shared" si="5"/>
        <v>5</v>
      </c>
      <c r="B52" s="81">
        <f t="shared" si="6"/>
        <v>3</v>
      </c>
      <c r="C52" s="82">
        <f t="shared" si="0"/>
        <v>1.7308994708953616</v>
      </c>
      <c r="D52" s="83">
        <f t="shared" si="1"/>
        <v>2.6102758546895366E-3</v>
      </c>
      <c r="E52" s="84">
        <f t="shared" si="2"/>
        <v>4.0370045576310076E-4</v>
      </c>
      <c r="F52" s="84">
        <f t="shared" si="2"/>
        <v>4.8022228471555906E-5</v>
      </c>
      <c r="G52" s="84">
        <f t="shared" si="2"/>
        <v>4.3807975171894498E-6</v>
      </c>
      <c r="H52" s="84">
        <f t="shared" si="2"/>
        <v>3.0578947996390555E-7</v>
      </c>
      <c r="I52" s="84">
        <f t="shared" si="2"/>
        <v>1.6304391225915801E-8</v>
      </c>
      <c r="J52" s="84">
        <f t="shared" si="2"/>
        <v>6.6315615594992682E-10</v>
      </c>
      <c r="K52" s="84">
        <f t="shared" si="2"/>
        <v>2.0553826947467018E-11</v>
      </c>
      <c r="L52" s="83">
        <f t="shared" si="3"/>
        <v>1</v>
      </c>
      <c r="M52" s="82">
        <f t="shared" si="8"/>
        <v>0.10512000000000001</v>
      </c>
      <c r="N52" s="83">
        <f t="shared" si="9"/>
        <v>3.9787603064840229E-50</v>
      </c>
      <c r="O52" s="82">
        <f t="shared" si="4"/>
        <v>0</v>
      </c>
      <c r="P52" s="83">
        <f t="shared" si="7"/>
        <v>4.8283979152295204E-153</v>
      </c>
      <c r="Q52" s="71"/>
    </row>
    <row r="53" spans="1:17">
      <c r="A53" s="81">
        <f t="shared" si="5"/>
        <v>5</v>
      </c>
      <c r="B53" s="81">
        <f t="shared" si="6"/>
        <v>4</v>
      </c>
      <c r="C53" s="82">
        <f t="shared" si="0"/>
        <v>1.9990029960822575</v>
      </c>
      <c r="D53" s="83">
        <f t="shared" si="1"/>
        <v>9.1466250224785384E-3</v>
      </c>
      <c r="E53" s="84">
        <f t="shared" si="2"/>
        <v>2.1899263457414442E-3</v>
      </c>
      <c r="F53" s="84">
        <f t="shared" si="2"/>
        <v>4.3178955813849562E-4</v>
      </c>
      <c r="G53" s="84">
        <f t="shared" si="2"/>
        <v>6.9932898794533571E-5</v>
      </c>
      <c r="H53" s="84">
        <f t="shared" si="2"/>
        <v>9.2854549142984411E-6</v>
      </c>
      <c r="I53" s="84">
        <f t="shared" si="2"/>
        <v>1.0091790914046328E-6</v>
      </c>
      <c r="J53" s="84">
        <f t="shared" si="2"/>
        <v>8.9669654690993475E-8</v>
      </c>
      <c r="K53" s="84">
        <f t="shared" si="2"/>
        <v>6.5074154342450987E-9</v>
      </c>
      <c r="L53" s="83">
        <f t="shared" si="3"/>
        <v>1</v>
      </c>
      <c r="M53" s="82">
        <f t="shared" si="8"/>
        <v>0.10512000000000001</v>
      </c>
      <c r="N53" s="83">
        <f t="shared" si="9"/>
        <v>1.9459406252926842E-36</v>
      </c>
      <c r="O53" s="82">
        <f t="shared" si="4"/>
        <v>0</v>
      </c>
      <c r="P53" s="83">
        <f t="shared" si="7"/>
        <v>2.7876578372643198E-115</v>
      </c>
      <c r="Q53" s="71"/>
    </row>
    <row r="54" spans="1:17">
      <c r="A54" s="81">
        <f t="shared" si="5"/>
        <v>5</v>
      </c>
      <c r="B54" s="81">
        <f t="shared" si="6"/>
        <v>5</v>
      </c>
      <c r="C54" s="82">
        <f t="shared" si="0"/>
        <v>2.2351762745577455</v>
      </c>
      <c r="D54" s="83">
        <f t="shared" si="1"/>
        <v>1.9747353915951837E-2</v>
      </c>
      <c r="E54" s="84">
        <f t="shared" si="2"/>
        <v>6.1528022294212725E-3</v>
      </c>
      <c r="F54" s="84">
        <f t="shared" si="2"/>
        <v>1.6442756203849385E-3</v>
      </c>
      <c r="G54" s="84">
        <f t="shared" si="2"/>
        <v>3.7604676829960937E-4</v>
      </c>
      <c r="H54" s="84">
        <f t="shared" si="2"/>
        <v>7.3470278151299695E-5</v>
      </c>
      <c r="I54" s="84">
        <f t="shared" si="2"/>
        <v>1.2245546208600189E-5</v>
      </c>
      <c r="J54" s="84">
        <f t="shared" si="2"/>
        <v>1.7392205715616171E-6</v>
      </c>
      <c r="K54" s="84">
        <f t="shared" si="2"/>
        <v>2.1030310084342257E-7</v>
      </c>
      <c r="L54" s="83">
        <f t="shared" si="3"/>
        <v>1</v>
      </c>
      <c r="M54" s="82">
        <f t="shared" si="8"/>
        <v>0.10512000000000001</v>
      </c>
      <c r="N54" s="83">
        <f t="shared" si="9"/>
        <v>3.0572595752194997E-28</v>
      </c>
      <c r="O54" s="82">
        <f t="shared" si="4"/>
        <v>0</v>
      </c>
      <c r="P54" s="83">
        <f t="shared" si="7"/>
        <v>1.2971568501088664E-92</v>
      </c>
      <c r="Q54" s="71"/>
    </row>
    <row r="55" spans="1:17">
      <c r="A55" s="81">
        <f t="shared" si="5"/>
        <v>5</v>
      </c>
      <c r="B55" s="81">
        <f t="shared" si="6"/>
        <v>6</v>
      </c>
      <c r="C55" s="82">
        <f t="shared" si="0"/>
        <v>2.4486757601499312</v>
      </c>
      <c r="D55" s="83">
        <f t="shared" si="1"/>
        <v>3.3348309968251666E-2</v>
      </c>
      <c r="E55" s="84">
        <f t="shared" si="2"/>
        <v>1.2395984949848504E-2</v>
      </c>
      <c r="F55" s="84">
        <f t="shared" si="2"/>
        <v>4.0599171770003828E-3</v>
      </c>
      <c r="G55" s="84">
        <f t="shared" si="2"/>
        <v>1.1692777991481051E-3</v>
      </c>
      <c r="H55" s="84">
        <f t="shared" si="2"/>
        <v>2.9566121467317075E-4</v>
      </c>
      <c r="I55" s="84">
        <f t="shared" si="2"/>
        <v>6.5553196299639183E-5</v>
      </c>
      <c r="J55" s="84">
        <f t="shared" si="2"/>
        <v>1.2731136993071601E-5</v>
      </c>
      <c r="K55" s="84">
        <f t="shared" si="2"/>
        <v>2.1639458311906168E-6</v>
      </c>
      <c r="L55" s="83">
        <f t="shared" si="3"/>
        <v>1</v>
      </c>
      <c r="M55" s="82">
        <f t="shared" si="8"/>
        <v>0.10512000000000001</v>
      </c>
      <c r="N55" s="83">
        <f t="shared" si="9"/>
        <v>8.5756810538553592E-23</v>
      </c>
      <c r="O55" s="82">
        <f t="shared" si="4"/>
        <v>0</v>
      </c>
      <c r="P55" s="83">
        <f t="shared" si="7"/>
        <v>1.7062665024435144E-77</v>
      </c>
      <c r="Q55" s="71"/>
    </row>
    <row r="56" spans="1:17">
      <c r="A56" s="81">
        <f t="shared" si="5"/>
        <v>5</v>
      </c>
      <c r="B56" s="81">
        <f t="shared" si="6"/>
        <v>7</v>
      </c>
      <c r="C56" s="82">
        <f t="shared" si="0"/>
        <v>2.6449977274746086</v>
      </c>
      <c r="D56" s="83">
        <f t="shared" si="1"/>
        <v>4.884682112373806E-2</v>
      </c>
      <c r="E56" s="84">
        <f t="shared" si="2"/>
        <v>2.0609793527755604E-2</v>
      </c>
      <c r="F56" s="84">
        <f t="shared" si="2"/>
        <v>7.8096944837464655E-3</v>
      </c>
      <c r="G56" s="84">
        <f t="shared" si="2"/>
        <v>2.6530199189154224E-3</v>
      </c>
      <c r="H56" s="84">
        <f t="shared" si="2"/>
        <v>8.0680198433213945E-4</v>
      </c>
      <c r="I56" s="84">
        <f t="shared" si="2"/>
        <v>2.1938393144749213E-4</v>
      </c>
      <c r="J56" s="84">
        <f t="shared" si="2"/>
        <v>5.3288993697497844E-5</v>
      </c>
      <c r="K56" s="84">
        <f t="shared" si="2"/>
        <v>1.1553698651578515E-5</v>
      </c>
      <c r="L56" s="83">
        <f t="shared" si="3"/>
        <v>1</v>
      </c>
      <c r="M56" s="82">
        <f t="shared" si="8"/>
        <v>0.10512000000000001</v>
      </c>
      <c r="N56" s="83">
        <f t="shared" si="9"/>
        <v>6.4545933775429342E-19</v>
      </c>
      <c r="O56" s="82">
        <f t="shared" si="4"/>
        <v>0</v>
      </c>
      <c r="P56" s="83">
        <f t="shared" si="7"/>
        <v>1.0876958829407192E-66</v>
      </c>
      <c r="Q56" s="71"/>
    </row>
    <row r="57" spans="1:17">
      <c r="A57" s="81">
        <f t="shared" si="5"/>
        <v>5</v>
      </c>
      <c r="B57" s="81">
        <f t="shared" si="6"/>
        <v>8</v>
      </c>
      <c r="C57" s="82">
        <f t="shared" si="0"/>
        <v>2.8277222243964917</v>
      </c>
      <c r="D57" s="83">
        <f t="shared" si="1"/>
        <v>6.5382807492412542E-2</v>
      </c>
      <c r="E57" s="84">
        <f t="shared" si="2"/>
        <v>3.035241945572964E-2</v>
      </c>
      <c r="F57" s="84">
        <f t="shared" si="2"/>
        <v>1.2835909038491966E-2</v>
      </c>
      <c r="G57" s="84">
        <f t="shared" si="2"/>
        <v>4.9369543042236952E-3</v>
      </c>
      <c r="H57" s="84">
        <f t="shared" si="2"/>
        <v>1.7247145528060948E-3</v>
      </c>
      <c r="I57" s="84">
        <f t="shared" si="2"/>
        <v>5.4667703130117928E-4</v>
      </c>
      <c r="J57" s="84">
        <f t="shared" si="2"/>
        <v>1.5707666960995681E-4</v>
      </c>
      <c r="K57" s="84">
        <f t="shared" si="2"/>
        <v>4.0882448356649448E-5</v>
      </c>
      <c r="L57" s="83">
        <f t="shared" si="3"/>
        <v>1</v>
      </c>
      <c r="M57" s="82">
        <f t="shared" si="8"/>
        <v>0.10512000000000001</v>
      </c>
      <c r="N57" s="83">
        <f t="shared" si="9"/>
        <v>5.0566668112488833E-16</v>
      </c>
      <c r="O57" s="82">
        <f t="shared" si="4"/>
        <v>0</v>
      </c>
      <c r="P57" s="83">
        <f t="shared" si="7"/>
        <v>1.3921724429493971E-58</v>
      </c>
      <c r="Q57" s="71"/>
    </row>
    <row r="58" spans="1:17">
      <c r="A58" s="81">
        <f t="shared" si="5"/>
        <v>5</v>
      </c>
      <c r="B58" s="81">
        <f t="shared" si="6"/>
        <v>9</v>
      </c>
      <c r="C58" s="82">
        <f t="shared" si="0"/>
        <v>2.9993354227804936</v>
      </c>
      <c r="D58" s="83">
        <f t="shared" si="1"/>
        <v>8.2351580050549433E-2</v>
      </c>
      <c r="E58" s="84">
        <f t="shared" si="2"/>
        <v>4.1195255665719799E-2</v>
      </c>
      <c r="F58" s="84">
        <f t="shared" si="2"/>
        <v>1.8980326641810041E-2</v>
      </c>
      <c r="G58" s="84">
        <f t="shared" si="2"/>
        <v>8.0426308426075899E-3</v>
      </c>
      <c r="H58" s="84">
        <f t="shared" si="2"/>
        <v>3.1304159443366064E-3</v>
      </c>
      <c r="I58" s="84">
        <f t="shared" si="2"/>
        <v>1.1180947680937692E-3</v>
      </c>
      <c r="J58" s="84">
        <f t="shared" si="2"/>
        <v>3.6615465579892259E-4</v>
      </c>
      <c r="K58" s="84">
        <f t="shared" si="2"/>
        <v>1.0986409811586384E-4</v>
      </c>
      <c r="L58" s="83">
        <f t="shared" si="3"/>
        <v>1</v>
      </c>
      <c r="M58" s="82">
        <f t="shared" si="8"/>
        <v>0.10512000000000001</v>
      </c>
      <c r="N58" s="83">
        <f t="shared" si="9"/>
        <v>8.7594088825297423E-14</v>
      </c>
      <c r="O58" s="82">
        <f t="shared" si="4"/>
        <v>0</v>
      </c>
      <c r="P58" s="83">
        <f t="shared" si="7"/>
        <v>2.8330914346394569E-52</v>
      </c>
      <c r="Q58" s="71"/>
    </row>
    <row r="59" spans="1:17">
      <c r="A59" s="81">
        <f t="shared" si="5"/>
        <v>5</v>
      </c>
      <c r="B59" s="81">
        <f t="shared" si="6"/>
        <v>10</v>
      </c>
      <c r="C59" s="82">
        <f t="shared" si="0"/>
        <v>3.1616471938446646</v>
      </c>
      <c r="D59" s="83">
        <f t="shared" si="1"/>
        <v>9.9349040891931084E-2</v>
      </c>
      <c r="E59" s="84">
        <f t="shared" ref="E59:K68" si="10">IF(D59&gt;0,0.5*EXP(-$C$12*$A59/$C$16)*(EXP(-$C$37*($C$13*$A59/$C$16/$C$36+$C$38*E$48))*2*NORMSDIST(-(($C$13*$A59/$C$16/$C$36+$C$38*E$48)/(2*$C59)-$C$37*$C59)*SQRT(2))+EXP($C$37*($C$13*$A59/$C$16/$C$36+$C$38*E$48))*2*NORMSDIST(-(($C$13*$A59/$C$16/$C$36+$C$38*E$48)/(2*$C59)+$C$37*$C59)*SQRT(2)))*$C$9,0)</f>
        <v>5.277586276485513E-2</v>
      </c>
      <c r="F59" s="84">
        <f t="shared" si="10"/>
        <v>2.6048825059590275E-2</v>
      </c>
      <c r="G59" s="84">
        <f t="shared" si="10"/>
        <v>1.1929741419423046E-2</v>
      </c>
      <c r="H59" s="84">
        <f t="shared" si="10"/>
        <v>5.0637756286189273E-3</v>
      </c>
      <c r="I59" s="84">
        <f t="shared" si="10"/>
        <v>1.9902647770959625E-3</v>
      </c>
      <c r="J59" s="84">
        <f t="shared" si="10"/>
        <v>7.2376750456926153E-4</v>
      </c>
      <c r="K59" s="84">
        <f t="shared" si="10"/>
        <v>2.4336151301151965E-4</v>
      </c>
      <c r="L59" s="83">
        <f t="shared" si="3"/>
        <v>1</v>
      </c>
      <c r="M59" s="82">
        <f t="shared" si="8"/>
        <v>0.10512000000000001</v>
      </c>
      <c r="N59" s="83">
        <f t="shared" si="9"/>
        <v>5.2737589474192613E-12</v>
      </c>
      <c r="O59" s="82">
        <f t="shared" si="4"/>
        <v>0</v>
      </c>
      <c r="P59" s="83">
        <f t="shared" si="7"/>
        <v>3.1731600475493627E-47</v>
      </c>
      <c r="Q59" s="71"/>
    </row>
    <row r="60" spans="1:17">
      <c r="A60" s="81">
        <f t="shared" si="5"/>
        <v>5</v>
      </c>
      <c r="B60" s="81">
        <f t="shared" si="6"/>
        <v>11</v>
      </c>
      <c r="C60" s="82">
        <f t="shared" si="0"/>
        <v>3.3160236697505407</v>
      </c>
      <c r="D60" s="83">
        <f t="shared" si="1"/>
        <v>0.11611420531114569</v>
      </c>
      <c r="E60" s="84">
        <f t="shared" si="10"/>
        <v>6.4807228017489837E-2</v>
      </c>
      <c r="F60" s="84">
        <f t="shared" si="10"/>
        <v>3.3848118726828913E-2</v>
      </c>
      <c r="G60" s="84">
        <f t="shared" si="10"/>
        <v>1.6522380769074196E-2</v>
      </c>
      <c r="H60" s="84">
        <f t="shared" si="10"/>
        <v>7.5297783404941754E-3</v>
      </c>
      <c r="I60" s="84">
        <f t="shared" si="10"/>
        <v>3.2009694271120104E-3</v>
      </c>
      <c r="J60" s="84">
        <f t="shared" si="10"/>
        <v>1.2683795294776701E-3</v>
      </c>
      <c r="K60" s="84">
        <f t="shared" si="10"/>
        <v>4.6818043085483652E-4</v>
      </c>
      <c r="L60" s="83">
        <f t="shared" si="3"/>
        <v>1</v>
      </c>
      <c r="M60" s="82">
        <f t="shared" si="8"/>
        <v>0.10512000000000001</v>
      </c>
      <c r="N60" s="83">
        <f t="shared" si="9"/>
        <v>1.4718095873600171E-10</v>
      </c>
      <c r="O60" s="82">
        <f t="shared" si="4"/>
        <v>0</v>
      </c>
      <c r="P60" s="83">
        <f t="shared" si="7"/>
        <v>4.3114371951443727E-43</v>
      </c>
      <c r="Q60" s="71"/>
    </row>
    <row r="61" spans="1:17">
      <c r="A61" s="81">
        <f t="shared" si="5"/>
        <v>5</v>
      </c>
      <c r="B61" s="81">
        <f t="shared" si="6"/>
        <v>12</v>
      </c>
      <c r="C61" s="82">
        <f t="shared" si="0"/>
        <v>3.4635260903226701</v>
      </c>
      <c r="D61" s="83">
        <f t="shared" si="1"/>
        <v>0.13248421002693567</v>
      </c>
      <c r="E61" s="84">
        <f t="shared" si="10"/>
        <v>7.707020481709792E-2</v>
      </c>
      <c r="F61" s="84">
        <f t="shared" si="10"/>
        <v>4.2203155099872269E-2</v>
      </c>
      <c r="G61" s="84">
        <f t="shared" si="10"/>
        <v>2.1728641980393704E-2</v>
      </c>
      <c r="H61" s="84">
        <f t="shared" si="10"/>
        <v>1.0508094269663149E-2</v>
      </c>
      <c r="I61" s="84">
        <f t="shared" si="10"/>
        <v>4.7693626639091491E-3</v>
      </c>
      <c r="J61" s="84">
        <f t="shared" si="10"/>
        <v>2.030196551908503E-3</v>
      </c>
      <c r="K61" s="84">
        <f t="shared" si="10"/>
        <v>8.1002592054302269E-4</v>
      </c>
      <c r="L61" s="83">
        <f t="shared" si="3"/>
        <v>1</v>
      </c>
      <c r="M61" s="82">
        <f t="shared" si="8"/>
        <v>0.10512000000000001</v>
      </c>
      <c r="N61" s="83">
        <f t="shared" si="9"/>
        <v>2.3071402636849811E-9</v>
      </c>
      <c r="O61" s="82">
        <f t="shared" si="4"/>
        <v>0</v>
      </c>
      <c r="P61" s="83">
        <f t="shared" si="7"/>
        <v>1.2036799578022499E-39</v>
      </c>
      <c r="Q61" s="71"/>
    </row>
    <row r="62" spans="1:17">
      <c r="A62" s="81">
        <f t="shared" si="5"/>
        <v>5</v>
      </c>
      <c r="B62" s="81">
        <f t="shared" si="6"/>
        <v>13</v>
      </c>
      <c r="C62" s="82">
        <f t="shared" si="0"/>
        <v>3.6049983326412014</v>
      </c>
      <c r="D62" s="83">
        <f t="shared" si="1"/>
        <v>0.14836223481144484</v>
      </c>
      <c r="E62" s="84">
        <f t="shared" si="10"/>
        <v>8.9401309403250417E-2</v>
      </c>
      <c r="F62" s="84">
        <f t="shared" si="10"/>
        <v>5.0963383470603585E-2</v>
      </c>
      <c r="G62" s="84">
        <f t="shared" si="10"/>
        <v>2.7453277527974773E-2</v>
      </c>
      <c r="H62" s="84">
        <f t="shared" si="10"/>
        <v>1.3962165352199074E-2</v>
      </c>
      <c r="I62" s="84">
        <f t="shared" si="10"/>
        <v>6.6987825964477388E-3</v>
      </c>
      <c r="J62" s="84">
        <f t="shared" si="10"/>
        <v>3.0299529612698439E-3</v>
      </c>
      <c r="K62" s="84">
        <f t="shared" si="10"/>
        <v>1.2912997360094991E-3</v>
      </c>
      <c r="L62" s="83">
        <f t="shared" si="3"/>
        <v>1</v>
      </c>
      <c r="M62" s="82">
        <f t="shared" si="8"/>
        <v>0.10512000000000001</v>
      </c>
      <c r="N62" s="83">
        <f t="shared" si="9"/>
        <v>2.3203636417006692E-8</v>
      </c>
      <c r="O62" s="82">
        <f t="shared" si="4"/>
        <v>0</v>
      </c>
      <c r="P62" s="83">
        <f t="shared" si="7"/>
        <v>9.9454870510476048E-37</v>
      </c>
      <c r="Q62" s="71"/>
    </row>
    <row r="63" spans="1:17">
      <c r="A63" s="81">
        <f t="shared" si="5"/>
        <v>5</v>
      </c>
      <c r="B63" s="81">
        <f t="shared" si="6"/>
        <v>14</v>
      </c>
      <c r="C63" s="82">
        <f t="shared" si="0"/>
        <v>3.7411245606563064</v>
      </c>
      <c r="D63" s="83">
        <f t="shared" si="1"/>
        <v>0.16369546144686331</v>
      </c>
      <c r="E63" s="84">
        <f t="shared" si="10"/>
        <v>0.10168071590837169</v>
      </c>
      <c r="F63" s="84">
        <f t="shared" si="10"/>
        <v>6.0003302706024719E-2</v>
      </c>
      <c r="G63" s="84">
        <f t="shared" si="10"/>
        <v>3.3605049118916375E-2</v>
      </c>
      <c r="H63" s="84">
        <f t="shared" si="10"/>
        <v>1.7846437742377486E-2</v>
      </c>
      <c r="I63" s="84">
        <f t="shared" si="10"/>
        <v>8.9804195654776819E-3</v>
      </c>
      <c r="J63" s="84">
        <f t="shared" si="10"/>
        <v>4.2792405989460214E-3</v>
      </c>
      <c r="K63" s="84">
        <f t="shared" si="10"/>
        <v>1.9298675749541694E-3</v>
      </c>
      <c r="L63" s="83">
        <f t="shared" si="3"/>
        <v>1</v>
      </c>
      <c r="M63" s="82">
        <f t="shared" si="8"/>
        <v>0.10512000000000001</v>
      </c>
      <c r="N63" s="83">
        <f t="shared" si="9"/>
        <v>1.6465713977997188E-7</v>
      </c>
      <c r="O63" s="82">
        <f t="shared" si="4"/>
        <v>0</v>
      </c>
      <c r="P63" s="83">
        <f t="shared" si="7"/>
        <v>3.1562848797780661E-34</v>
      </c>
      <c r="Q63" s="71"/>
    </row>
    <row r="64" spans="1:17">
      <c r="A64" s="81">
        <f t="shared" si="5"/>
        <v>5</v>
      </c>
      <c r="B64" s="81">
        <f t="shared" si="6"/>
        <v>15</v>
      </c>
      <c r="C64" s="82">
        <f t="shared" si="0"/>
        <v>3.8724685897171383</v>
      </c>
      <c r="D64" s="83">
        <f t="shared" si="1"/>
        <v>0.17846015272639981</v>
      </c>
      <c r="E64" s="84">
        <f t="shared" si="10"/>
        <v>0.11382203910466027</v>
      </c>
      <c r="F64" s="84">
        <f t="shared" si="10"/>
        <v>6.922039765640009E-2</v>
      </c>
      <c r="G64" s="84">
        <f t="shared" si="10"/>
        <v>4.0100503680000177E-2</v>
      </c>
      <c r="H64" s="84">
        <f t="shared" si="10"/>
        <v>2.2111576869898286E-2</v>
      </c>
      <c r="I64" s="84">
        <f t="shared" si="10"/>
        <v>1.1596875446533428E-2</v>
      </c>
      <c r="J64" s="84">
        <f t="shared" si="10"/>
        <v>5.7816770772918247E-3</v>
      </c>
      <c r="K64" s="84">
        <f t="shared" si="10"/>
        <v>2.7386370512356706E-3</v>
      </c>
      <c r="L64" s="83">
        <f t="shared" si="3"/>
        <v>1</v>
      </c>
      <c r="M64" s="82">
        <f t="shared" si="8"/>
        <v>0.10512000000000001</v>
      </c>
      <c r="N64" s="83">
        <f t="shared" si="9"/>
        <v>8.8396745547934815E-7</v>
      </c>
      <c r="O64" s="82">
        <f t="shared" si="4"/>
        <v>0</v>
      </c>
      <c r="P64" s="83">
        <f t="shared" si="7"/>
        <v>4.6579492277338179E-32</v>
      </c>
      <c r="Q64" s="71"/>
    </row>
    <row r="65" spans="1:17">
      <c r="A65" s="81">
        <f t="shared" si="5"/>
        <v>5</v>
      </c>
      <c r="B65" s="81">
        <f t="shared" si="6"/>
        <v>16</v>
      </c>
      <c r="C65" s="82">
        <f t="shared" si="0"/>
        <v>3.999501591241819</v>
      </c>
      <c r="D65" s="83">
        <f t="shared" si="1"/>
        <v>0.19265160325444475</v>
      </c>
      <c r="E65" s="84">
        <f t="shared" si="10"/>
        <v>0.12576417098138748</v>
      </c>
      <c r="F65" s="84">
        <f t="shared" si="10"/>
        <v>7.8532117912755384E-2</v>
      </c>
      <c r="G65" s="84">
        <f t="shared" si="10"/>
        <v>4.6865524409759995E-2</v>
      </c>
      <c r="H65" s="84">
        <f t="shared" si="10"/>
        <v>2.6707967593747828E-2</v>
      </c>
      <c r="I65" s="84">
        <f t="shared" si="10"/>
        <v>1.4525192331377834E-2</v>
      </c>
      <c r="J65" s="84">
        <f t="shared" si="10"/>
        <v>7.5344045988738895E-3</v>
      </c>
      <c r="K65" s="84">
        <f t="shared" si="10"/>
        <v>3.7257002352106827E-3</v>
      </c>
      <c r="L65" s="83">
        <f t="shared" si="3"/>
        <v>1</v>
      </c>
      <c r="M65" s="82">
        <f t="shared" si="8"/>
        <v>0.10512000000000001</v>
      </c>
      <c r="N65" s="83">
        <f t="shared" si="9"/>
        <v>3.7831284864490973E-6</v>
      </c>
      <c r="O65" s="82">
        <f t="shared" si="4"/>
        <v>0</v>
      </c>
      <c r="P65" s="83">
        <f t="shared" si="7"/>
        <v>3.6894930386310297E-30</v>
      </c>
      <c r="Q65" s="71"/>
    </row>
    <row r="66" spans="1:17">
      <c r="A66" s="81">
        <f t="shared" si="5"/>
        <v>5</v>
      </c>
      <c r="B66" s="81">
        <f t="shared" si="6"/>
        <v>17</v>
      </c>
      <c r="C66" s="82">
        <f t="shared" si="0"/>
        <v>4.1226220998711298</v>
      </c>
      <c r="D66" s="83">
        <f t="shared" si="1"/>
        <v>0.20627737769769405</v>
      </c>
      <c r="E66" s="84">
        <f t="shared" si="10"/>
        <v>0.13746496063529134</v>
      </c>
      <c r="F66" s="84">
        <f t="shared" si="10"/>
        <v>8.787271977532285E-2</v>
      </c>
      <c r="G66" s="84">
        <f t="shared" si="10"/>
        <v>5.3835581682874167E-2</v>
      </c>
      <c r="H66" s="84">
        <f t="shared" si="10"/>
        <v>3.1587910031515065E-2</v>
      </c>
      <c r="I66" s="84">
        <f t="shared" si="10"/>
        <v>1.7739237601892777E-2</v>
      </c>
      <c r="J66" s="84">
        <f t="shared" si="10"/>
        <v>9.5296079154802982E-3</v>
      </c>
      <c r="K66" s="84">
        <f t="shared" si="10"/>
        <v>4.8948119201770446E-3</v>
      </c>
      <c r="L66" s="83">
        <f t="shared" si="3"/>
        <v>1</v>
      </c>
      <c r="M66" s="82">
        <f t="shared" si="8"/>
        <v>0.10512000000000001</v>
      </c>
      <c r="N66" s="83">
        <f t="shared" si="9"/>
        <v>1.3434280300268389E-5</v>
      </c>
      <c r="O66" s="82">
        <f t="shared" si="4"/>
        <v>0</v>
      </c>
      <c r="P66" s="83">
        <f t="shared" si="7"/>
        <v>1.7503679435344206E-28</v>
      </c>
      <c r="Q66" s="71"/>
    </row>
    <row r="67" spans="1:17">
      <c r="A67" s="81">
        <f t="shared" si="5"/>
        <v>5</v>
      </c>
      <c r="B67" s="81">
        <f t="shared" si="6"/>
        <v>18</v>
      </c>
      <c r="C67" s="82">
        <f t="shared" si="0"/>
        <v>4.2421707860888676</v>
      </c>
      <c r="D67" s="83">
        <f t="shared" si="1"/>
        <v>0.21935275910729013</v>
      </c>
      <c r="E67" s="84">
        <f t="shared" si="10"/>
        <v>0.14889640113973313</v>
      </c>
      <c r="F67" s="84">
        <f t="shared" si="10"/>
        <v>9.7190342477951219E-2</v>
      </c>
      <c r="G67" s="84">
        <f t="shared" si="10"/>
        <v>6.095527671269152E-2</v>
      </c>
      <c r="H67" s="84">
        <f t="shared" si="10"/>
        <v>3.6706885987280335E-2</v>
      </c>
      <c r="I67" s="84">
        <f t="shared" si="10"/>
        <v>2.1211482309767105E-2</v>
      </c>
      <c r="J67" s="84">
        <f t="shared" si="10"/>
        <v>1.1755888327954267E-2</v>
      </c>
      <c r="K67" s="84">
        <f t="shared" si="10"/>
        <v>6.2460290135337715E-3</v>
      </c>
      <c r="L67" s="83">
        <f t="shared" si="3"/>
        <v>1</v>
      </c>
      <c r="M67" s="82">
        <f t="shared" si="8"/>
        <v>0.10512000000000001</v>
      </c>
      <c r="N67" s="83">
        <f t="shared" si="9"/>
        <v>4.0837459782363755E-5</v>
      </c>
      <c r="O67" s="82">
        <f t="shared" si="4"/>
        <v>0</v>
      </c>
      <c r="P67" s="83">
        <f t="shared" si="7"/>
        <v>5.4167638690392206E-27</v>
      </c>
      <c r="Q67" s="71"/>
    </row>
    <row r="68" spans="1:17">
      <c r="A68" s="81">
        <f t="shared" si="5"/>
        <v>5</v>
      </c>
      <c r="B68" s="81">
        <f t="shared" si="6"/>
        <v>19</v>
      </c>
      <c r="C68" s="82">
        <f t="shared" si="0"/>
        <v>4.3584415767962108</v>
      </c>
      <c r="D68" s="83">
        <f t="shared" si="1"/>
        <v>0.23189768469366223</v>
      </c>
      <c r="E68" s="84">
        <f t="shared" si="10"/>
        <v>0.16004099517078929</v>
      </c>
      <c r="F68" s="84">
        <f t="shared" si="10"/>
        <v>0.10644445741824171</v>
      </c>
      <c r="G68" s="84">
        <f t="shared" si="10"/>
        <v>6.8177541158218169E-2</v>
      </c>
      <c r="H68" s="84">
        <f t="shared" si="10"/>
        <v>4.2024193103326946E-2</v>
      </c>
      <c r="I68" s="84">
        <f t="shared" si="10"/>
        <v>2.4914268192181677E-2</v>
      </c>
      <c r="J68" s="84">
        <f t="shared" si="10"/>
        <v>1.4199426263681092E-2</v>
      </c>
      <c r="K68" s="84">
        <f t="shared" si="10"/>
        <v>7.7763933467949187E-3</v>
      </c>
      <c r="L68" s="83">
        <f t="shared" si="3"/>
        <v>1</v>
      </c>
      <c r="M68" s="82">
        <f t="shared" si="8"/>
        <v>0.10512000000000001</v>
      </c>
      <c r="N68" s="83">
        <f t="shared" si="9"/>
        <v>1.0891154145863027E-4</v>
      </c>
      <c r="O68" s="82">
        <f t="shared" si="4"/>
        <v>0</v>
      </c>
      <c r="P68" s="83">
        <f t="shared" si="7"/>
        <v>1.1696575054137592E-25</v>
      </c>
      <c r="Q68" s="71"/>
    </row>
    <row r="69" spans="1:17">
      <c r="A69" s="81">
        <f t="shared" si="5"/>
        <v>5</v>
      </c>
      <c r="B69" s="81">
        <f t="shared" si="6"/>
        <v>20</v>
      </c>
      <c r="C69" s="82">
        <f t="shared" si="0"/>
        <v>4.4716901702092287</v>
      </c>
      <c r="D69" s="83">
        <f t="shared" si="1"/>
        <v>0.24393468605296964</v>
      </c>
      <c r="E69" s="84">
        <f t="shared" ref="E69:K78" si="11">IF(D69&gt;0,0.5*EXP(-$C$12*$A69/$C$16)*(EXP(-$C$37*($C$13*$A69/$C$16/$C$36+$C$38*E$48))*2*NORMSDIST(-(($C$13*$A69/$C$16/$C$36+$C$38*E$48)/(2*$C69)-$C$37*$C69)*SQRT(2))+EXP($C$37*($C$13*$A69/$C$16/$C$36+$C$38*E$48))*2*NORMSDIST(-(($C$13*$A69/$C$16/$C$36+$C$38*E$48)/(2*$C69)+$C$37*$C69)*SQRT(2)))*$C$9,0)</f>
        <v>0.17088902197810207</v>
      </c>
      <c r="F69" s="84">
        <f t="shared" si="11"/>
        <v>0.11560371518425105</v>
      </c>
      <c r="G69" s="84">
        <f t="shared" si="11"/>
        <v>7.5462706441041139E-2</v>
      </c>
      <c r="H69" s="84">
        <f t="shared" si="11"/>
        <v>4.7503165729531061E-2</v>
      </c>
      <c r="I69" s="84">
        <f t="shared" si="11"/>
        <v>2.8820670371894064E-2</v>
      </c>
      <c r="J69" s="84">
        <f t="shared" si="11"/>
        <v>1.6844920190574264E-2</v>
      </c>
      <c r="K69" s="84">
        <f t="shared" si="11"/>
        <v>9.4805865996416827E-3</v>
      </c>
      <c r="L69" s="83">
        <f t="shared" si="3"/>
        <v>1</v>
      </c>
      <c r="M69" s="82">
        <f t="shared" si="8"/>
        <v>0.10512000000000001</v>
      </c>
      <c r="N69" s="83">
        <f t="shared" si="9"/>
        <v>2.5990656114215993E-4</v>
      </c>
      <c r="O69" s="82">
        <f t="shared" si="4"/>
        <v>0</v>
      </c>
      <c r="P69" s="83">
        <f t="shared" si="7"/>
        <v>1.8599351718598049E-24</v>
      </c>
      <c r="Q69" s="71"/>
    </row>
    <row r="70" spans="1:17">
      <c r="A70" s="81">
        <f t="shared" si="5"/>
        <v>5</v>
      </c>
      <c r="B70" s="81">
        <f t="shared" si="6"/>
        <v>21</v>
      </c>
      <c r="C70" s="82">
        <f t="shared" si="0"/>
        <v>4.5821406545790193</v>
      </c>
      <c r="D70" s="83">
        <f t="shared" si="1"/>
        <v>0.25548751045326346</v>
      </c>
      <c r="E70" s="84">
        <f t="shared" si="11"/>
        <v>0.18143648554795644</v>
      </c>
      <c r="F70" s="84">
        <f t="shared" si="11"/>
        <v>0.12464416362343989</v>
      </c>
      <c r="G70" s="84">
        <f t="shared" si="11"/>
        <v>8.2777562980011821E-2</v>
      </c>
      <c r="H70" s="84">
        <f t="shared" si="11"/>
        <v>5.3111136903627898E-2</v>
      </c>
      <c r="I70" s="84">
        <f t="shared" si="11"/>
        <v>3.2905053652394045E-2</v>
      </c>
      <c r="J70" s="84">
        <f t="shared" si="11"/>
        <v>1.96763179932673E-2</v>
      </c>
      <c r="K70" s="84">
        <f t="shared" si="11"/>
        <v>1.1351519375645047E-2</v>
      </c>
      <c r="L70" s="83">
        <f t="shared" si="3"/>
        <v>1</v>
      </c>
      <c r="M70" s="82">
        <f t="shared" si="8"/>
        <v>0.10512000000000001</v>
      </c>
      <c r="N70" s="83">
        <f t="shared" si="9"/>
        <v>5.6392424944400185E-4</v>
      </c>
      <c r="O70" s="82">
        <f t="shared" si="4"/>
        <v>0</v>
      </c>
      <c r="P70" s="83">
        <f t="shared" si="7"/>
        <v>2.2751645827229552E-23</v>
      </c>
      <c r="Q70" s="71"/>
    </row>
    <row r="71" spans="1:17">
      <c r="A71" s="81">
        <f t="shared" si="5"/>
        <v>5</v>
      </c>
      <c r="B71" s="81">
        <f t="shared" si="6"/>
        <v>22</v>
      </c>
      <c r="C71" s="82">
        <f t="shared" si="0"/>
        <v>4.6899907226289734</v>
      </c>
      <c r="D71" s="83">
        <f t="shared" si="1"/>
        <v>0.26658020572298557</v>
      </c>
      <c r="E71" s="84">
        <f t="shared" si="11"/>
        <v>0.19168357468817576</v>
      </c>
      <c r="F71" s="84">
        <f t="shared" si="11"/>
        <v>0.13354779055544119</v>
      </c>
      <c r="G71" s="84">
        <f t="shared" si="11"/>
        <v>9.0094472604324238E-2</v>
      </c>
      <c r="H71" s="84">
        <f t="shared" si="11"/>
        <v>5.8819246919178836E-2</v>
      </c>
      <c r="I71" s="84">
        <f t="shared" si="11"/>
        <v>3.7143403889514204E-2</v>
      </c>
      <c r="J71" s="84">
        <f t="shared" si="11"/>
        <v>2.2677369037983119E-2</v>
      </c>
      <c r="K71" s="84">
        <f t="shared" si="11"/>
        <v>1.3380838440367748E-2</v>
      </c>
      <c r="L71" s="83">
        <f t="shared" si="3"/>
        <v>1</v>
      </c>
      <c r="M71" s="82">
        <f t="shared" si="8"/>
        <v>0.10512000000000001</v>
      </c>
      <c r="N71" s="83">
        <f t="shared" si="9"/>
        <v>1.1270945237297151E-3</v>
      </c>
      <c r="O71" s="82">
        <f t="shared" si="4"/>
        <v>0</v>
      </c>
      <c r="P71" s="83">
        <f t="shared" si="7"/>
        <v>2.2187857933046936E-22</v>
      </c>
      <c r="Q71" s="71"/>
    </row>
    <row r="72" spans="1:17">
      <c r="A72" s="81">
        <f t="shared" si="5"/>
        <v>5</v>
      </c>
      <c r="B72" s="81">
        <f t="shared" si="6"/>
        <v>23</v>
      </c>
      <c r="C72" s="82">
        <f t="shared" si="0"/>
        <v>4.7954158295549139</v>
      </c>
      <c r="D72" s="83">
        <f t="shared" si="1"/>
        <v>0.27723652171597646</v>
      </c>
      <c r="E72" s="84">
        <f t="shared" si="11"/>
        <v>0.20163350702261873</v>
      </c>
      <c r="F72" s="84">
        <f t="shared" si="11"/>
        <v>0.14230134070168443</v>
      </c>
      <c r="G72" s="84">
        <f t="shared" si="11"/>
        <v>9.7390563640269878E-2</v>
      </c>
      <c r="H72" s="84">
        <f t="shared" si="11"/>
        <v>6.4602168689662731E-2</v>
      </c>
      <c r="I72" s="84">
        <f t="shared" si="11"/>
        <v>4.1513498687460348E-2</v>
      </c>
      <c r="J72" s="84">
        <f t="shared" si="11"/>
        <v>2.5832028157144915E-2</v>
      </c>
      <c r="K72" s="84">
        <f t="shared" si="11"/>
        <v>1.5559349550596568E-2</v>
      </c>
      <c r="L72" s="83">
        <f t="shared" si="3"/>
        <v>1</v>
      </c>
      <c r="M72" s="82">
        <f t="shared" si="8"/>
        <v>0.10512000000000001</v>
      </c>
      <c r="N72" s="83">
        <f t="shared" si="9"/>
        <v>2.0976280388015777E-3</v>
      </c>
      <c r="O72" s="82">
        <f t="shared" si="4"/>
        <v>0</v>
      </c>
      <c r="P72" s="83">
        <f t="shared" si="7"/>
        <v>1.7767302004510045E-21</v>
      </c>
      <c r="Q72" s="71"/>
    </row>
    <row r="73" spans="1:17">
      <c r="A73" s="81">
        <f t="shared" si="5"/>
        <v>5</v>
      </c>
      <c r="B73" s="81">
        <f t="shared" si="6"/>
        <v>24</v>
      </c>
      <c r="C73" s="82">
        <f t="shared" si="0"/>
        <v>4.8985725449712225</v>
      </c>
      <c r="D73" s="83">
        <f t="shared" si="1"/>
        <v>0.28747952836649704</v>
      </c>
      <c r="E73" s="84">
        <f t="shared" si="11"/>
        <v>0.21129166089339124</v>
      </c>
      <c r="F73" s="84">
        <f t="shared" si="11"/>
        <v>0.15089535947378252</v>
      </c>
      <c r="G73" s="84">
        <f t="shared" si="11"/>
        <v>0.10464701874877402</v>
      </c>
      <c r="H73" s="84">
        <f t="shared" si="11"/>
        <v>7.0437795465947639E-2</v>
      </c>
      <c r="I73" s="84">
        <f t="shared" si="11"/>
        <v>4.5994966340804133E-2</v>
      </c>
      <c r="J73" s="84">
        <f t="shared" si="11"/>
        <v>2.9124741157535494E-2</v>
      </c>
      <c r="K73" s="84">
        <f t="shared" si="11"/>
        <v>1.7877360810596876E-2</v>
      </c>
      <c r="L73" s="83">
        <f t="shared" si="3"/>
        <v>1</v>
      </c>
      <c r="M73" s="82">
        <f t="shared" si="8"/>
        <v>0.10512000000000001</v>
      </c>
      <c r="N73" s="83">
        <f t="shared" si="9"/>
        <v>3.6680824228357113E-3</v>
      </c>
      <c r="O73" s="82">
        <f t="shared" si="4"/>
        <v>0</v>
      </c>
      <c r="P73" s="83">
        <f t="shared" si="7"/>
        <v>1.1973272074347971E-20</v>
      </c>
      <c r="Q73" s="71"/>
    </row>
    <row r="74" spans="1:17">
      <c r="A74" s="81">
        <f t="shared" si="5"/>
        <v>5</v>
      </c>
      <c r="B74" s="81">
        <f t="shared" si="6"/>
        <v>25</v>
      </c>
      <c r="C74" s="82">
        <f t="shared" si="0"/>
        <v>4.9996012819369744</v>
      </c>
      <c r="D74" s="83">
        <f t="shared" si="1"/>
        <v>0.29733138195119491</v>
      </c>
      <c r="E74" s="84">
        <f t="shared" si="11"/>
        <v>0.22066492343778954</v>
      </c>
      <c r="F74" s="84">
        <f t="shared" si="11"/>
        <v>0.15932342208470773</v>
      </c>
      <c r="G74" s="84">
        <f t="shared" si="11"/>
        <v>0.11184845489252071</v>
      </c>
      <c r="H74" s="84">
        <f t="shared" si="11"/>
        <v>7.6306919609311352E-2</v>
      </c>
      <c r="I74" s="84">
        <f t="shared" si="11"/>
        <v>5.056926935683026E-2</v>
      </c>
      <c r="J74" s="84">
        <f t="shared" si="11"/>
        <v>3.2540637805473782E-2</v>
      </c>
      <c r="K74" s="84">
        <f t="shared" si="11"/>
        <v>2.032495516191779E-2</v>
      </c>
      <c r="L74" s="83">
        <f t="shared" si="3"/>
        <v>1</v>
      </c>
      <c r="M74" s="82">
        <f t="shared" si="8"/>
        <v>0.10512000000000001</v>
      </c>
      <c r="N74" s="83">
        <f t="shared" si="9"/>
        <v>6.0727167760913315E-3</v>
      </c>
      <c r="O74" s="82">
        <f t="shared" si="4"/>
        <v>0</v>
      </c>
      <c r="P74" s="83">
        <f t="shared" si="7"/>
        <v>6.9320796681336762E-20</v>
      </c>
      <c r="Q74" s="71"/>
    </row>
    <row r="75" spans="1:17">
      <c r="A75" s="81">
        <f t="shared" si="5"/>
        <v>5</v>
      </c>
      <c r="B75" s="81">
        <f t="shared" si="6"/>
        <v>26</v>
      </c>
      <c r="C75" s="82">
        <f t="shared" si="0"/>
        <v>5.0986285389647517</v>
      </c>
      <c r="D75" s="83">
        <f t="shared" si="1"/>
        <v>0.30681319254723105</v>
      </c>
      <c r="E75" s="84">
        <f t="shared" si="11"/>
        <v>0.22976120128404598</v>
      </c>
      <c r="F75" s="84">
        <f t="shared" si="11"/>
        <v>0.16758151289130696</v>
      </c>
      <c r="G75" s="84">
        <f t="shared" si="11"/>
        <v>0.1189823893200761</v>
      </c>
      <c r="H75" s="84">
        <f t="shared" si="11"/>
        <v>8.2192919799906505E-2</v>
      </c>
      <c r="I75" s="84">
        <f t="shared" si="11"/>
        <v>5.5219639020028133E-2</v>
      </c>
      <c r="J75" s="84">
        <f t="shared" si="11"/>
        <v>3.6065654001917746E-2</v>
      </c>
      <c r="K75" s="84">
        <f t="shared" si="11"/>
        <v>2.2892201929920475E-2</v>
      </c>
      <c r="L75" s="83">
        <f t="shared" si="3"/>
        <v>1</v>
      </c>
      <c r="M75" s="82">
        <f t="shared" si="8"/>
        <v>0.10512000000000001</v>
      </c>
      <c r="N75" s="83">
        <f t="shared" si="9"/>
        <v>9.5796108183786258E-3</v>
      </c>
      <c r="O75" s="82">
        <f t="shared" si="4"/>
        <v>0</v>
      </c>
      <c r="P75" s="83">
        <f t="shared" si="7"/>
        <v>3.5088776152889798E-19</v>
      </c>
      <c r="Q75" s="71"/>
    </row>
    <row r="76" spans="1:17">
      <c r="A76" s="81">
        <f t="shared" si="5"/>
        <v>5</v>
      </c>
      <c r="B76" s="81">
        <f t="shared" si="6"/>
        <v>27</v>
      </c>
      <c r="C76" s="82">
        <f t="shared" si="0"/>
        <v>5.1957687572048314</v>
      </c>
      <c r="D76" s="83">
        <f t="shared" si="1"/>
        <v>0.31594496022594432</v>
      </c>
      <c r="E76" s="84">
        <f t="shared" si="11"/>
        <v>0.23858905384349649</v>
      </c>
      <c r="F76" s="84">
        <f t="shared" si="11"/>
        <v>0.17566752596893132</v>
      </c>
      <c r="G76" s="84">
        <f t="shared" si="11"/>
        <v>0.12603878300733529</v>
      </c>
      <c r="H76" s="84">
        <f t="shared" si="11"/>
        <v>8.8081466579081003E-2</v>
      </c>
      <c r="I76" s="84">
        <f t="shared" si="11"/>
        <v>5.9930979942574236E-2</v>
      </c>
      <c r="J76" s="84">
        <f t="shared" si="11"/>
        <v>3.9686600757491863E-2</v>
      </c>
      <c r="K76" s="84">
        <f t="shared" si="11"/>
        <v>2.5569317311028739E-2</v>
      </c>
      <c r="L76" s="83">
        <f t="shared" si="3"/>
        <v>1</v>
      </c>
      <c r="M76" s="82">
        <f t="shared" si="8"/>
        <v>0.10512000000000001</v>
      </c>
      <c r="N76" s="83">
        <f t="shared" si="9"/>
        <v>1.4478080960897194E-2</v>
      </c>
      <c r="O76" s="82">
        <f t="shared" si="4"/>
        <v>0</v>
      </c>
      <c r="P76" s="83">
        <f t="shared" si="7"/>
        <v>1.5761495817164152E-18</v>
      </c>
      <c r="Q76" s="71"/>
    </row>
    <row r="77" spans="1:17">
      <c r="A77" s="81">
        <f t="shared" si="5"/>
        <v>5</v>
      </c>
      <c r="B77" s="81">
        <f t="shared" si="6"/>
        <v>28</v>
      </c>
      <c r="C77" s="82">
        <f t="shared" si="0"/>
        <v>5.2911258705823512</v>
      </c>
      <c r="D77" s="83">
        <f t="shared" si="1"/>
        <v>0.3247455574915481</v>
      </c>
      <c r="E77" s="84">
        <f t="shared" si="11"/>
        <v>0.24715741923044332</v>
      </c>
      <c r="F77" s="84">
        <f t="shared" si="11"/>
        <v>0.18358086327444401</v>
      </c>
      <c r="G77" s="84">
        <f t="shared" si="11"/>
        <v>0.13300965227825667</v>
      </c>
      <c r="H77" s="84">
        <f t="shared" si="11"/>
        <v>9.3960251267325656E-2</v>
      </c>
      <c r="I77" s="84">
        <f t="shared" si="11"/>
        <v>6.4689757936100767E-2</v>
      </c>
      <c r="J77" s="84">
        <f t="shared" si="11"/>
        <v>4.3391193936270556E-2</v>
      </c>
      <c r="K77" s="84">
        <f t="shared" si="11"/>
        <v>2.8346782930992909E-2</v>
      </c>
      <c r="L77" s="83">
        <f t="shared" si="3"/>
        <v>1</v>
      </c>
      <c r="M77" s="82">
        <f t="shared" si="8"/>
        <v>0.10512000000000001</v>
      </c>
      <c r="N77" s="83">
        <f t="shared" si="9"/>
        <v>2.1062642571653946E-2</v>
      </c>
      <c r="O77" s="82">
        <f t="shared" si="4"/>
        <v>0</v>
      </c>
      <c r="P77" s="83">
        <f t="shared" si="7"/>
        <v>6.363532239882849E-18</v>
      </c>
      <c r="Q77" s="71"/>
    </row>
    <row r="78" spans="1:17">
      <c r="A78" s="81">
        <f t="shared" si="5"/>
        <v>5</v>
      </c>
      <c r="B78" s="81">
        <f t="shared" si="6"/>
        <v>29</v>
      </c>
      <c r="C78" s="82">
        <f t="shared" si="0"/>
        <v>5.3847946087428298</v>
      </c>
      <c r="D78" s="83">
        <f t="shared" si="1"/>
        <v>0.33323274234786515</v>
      </c>
      <c r="E78" s="84">
        <f t="shared" si="11"/>
        <v>0.25547541031013976</v>
      </c>
      <c r="F78" s="84">
        <f t="shared" si="11"/>
        <v>0.19132211127902332</v>
      </c>
      <c r="G78" s="84">
        <f t="shared" si="11"/>
        <v>0.13988873954641123</v>
      </c>
      <c r="H78" s="84">
        <f t="shared" si="11"/>
        <v>9.981874021482362E-2</v>
      </c>
      <c r="I78" s="84">
        <f t="shared" si="11"/>
        <v>6.9483880419839661E-2</v>
      </c>
      <c r="J78" s="84">
        <f t="shared" si="11"/>
        <v>4.7168055662585751E-2</v>
      </c>
      <c r="K78" s="84">
        <f t="shared" si="11"/>
        <v>3.1215430531089883E-2</v>
      </c>
      <c r="L78" s="83">
        <f t="shared" si="3"/>
        <v>1</v>
      </c>
      <c r="M78" s="82">
        <f t="shared" si="8"/>
        <v>0.10512000000000001</v>
      </c>
      <c r="N78" s="83">
        <f t="shared" si="9"/>
        <v>2.9615219247126928E-2</v>
      </c>
      <c r="O78" s="82">
        <f t="shared" si="4"/>
        <v>0</v>
      </c>
      <c r="P78" s="83">
        <f t="shared" si="7"/>
        <v>2.3348199525412038E-17</v>
      </c>
      <c r="Q78" s="71"/>
    </row>
    <row r="79" spans="1:17">
      <c r="A79" s="81">
        <f t="shared" si="5"/>
        <v>5</v>
      </c>
      <c r="B79" s="81">
        <f t="shared" si="6"/>
        <v>30</v>
      </c>
      <c r="C79" s="82">
        <f t="shared" si="0"/>
        <v>5.476861599341893</v>
      </c>
      <c r="D79" s="83">
        <f t="shared" si="1"/>
        <v>0.34142319114111341</v>
      </c>
      <c r="E79" s="84">
        <f t="shared" ref="E79:K88" si="12">IF(D79&gt;0,0.5*EXP(-$C$12*$A79/$C$16)*(EXP(-$C$37*($C$13*$A79/$C$16/$C$36+$C$38*E$48))*2*NORMSDIST(-(($C$13*$A79/$C$16/$C$36+$C$38*E$48)/(2*$C79)-$C$37*$C79)*SQRT(2))+EXP($C$37*($C$13*$A79/$C$16/$C$36+$C$38*E$48))*2*NORMSDIST(-(($C$13*$A79/$C$16/$C$36+$C$38*E$48)/(2*$C79)+$C$37*$C79)*SQRT(2)))*$C$9,0)</f>
        <v>0.26355216393294256</v>
      </c>
      <c r="F79" s="84">
        <f t="shared" si="12"/>
        <v>0.19889278068730643</v>
      </c>
      <c r="G79" s="84">
        <f t="shared" si="12"/>
        <v>0.1466712348080601</v>
      </c>
      <c r="H79" s="84">
        <f t="shared" si="12"/>
        <v>0.10564795443979058</v>
      </c>
      <c r="I79" s="84">
        <f t="shared" si="12"/>
        <v>7.4302575591035591E-2</v>
      </c>
      <c r="J79" s="84">
        <f t="shared" si="12"/>
        <v>5.1006695770365429E-2</v>
      </c>
      <c r="K79" s="84">
        <f t="shared" si="12"/>
        <v>3.4166499678113915E-2</v>
      </c>
      <c r="L79" s="83">
        <f t="shared" si="3"/>
        <v>1</v>
      </c>
      <c r="M79" s="82">
        <f t="shared" si="8"/>
        <v>0.10512000000000001</v>
      </c>
      <c r="N79" s="83">
        <f t="shared" si="9"/>
        <v>4.0387441560250627E-2</v>
      </c>
      <c r="O79" s="82">
        <f t="shared" si="4"/>
        <v>0</v>
      </c>
      <c r="P79" s="83">
        <f t="shared" si="7"/>
        <v>7.8597468697020173E-17</v>
      </c>
      <c r="Q79" s="71"/>
    </row>
    <row r="80" spans="1:17">
      <c r="A80" s="81">
        <f t="shared" si="5"/>
        <v>5</v>
      </c>
      <c r="B80" s="81">
        <f t="shared" si="6"/>
        <v>31</v>
      </c>
      <c r="C80" s="82">
        <f t="shared" si="0"/>
        <v>5.5674063062027228</v>
      </c>
      <c r="D80" s="83">
        <f t="shared" si="1"/>
        <v>0.34933254364620692</v>
      </c>
      <c r="E80" s="84">
        <f t="shared" si="12"/>
        <v>0.27139673055807245</v>
      </c>
      <c r="F80" s="84">
        <f t="shared" si="12"/>
        <v>0.20629509689842207</v>
      </c>
      <c r="G80" s="84">
        <f t="shared" si="12"/>
        <v>0.15335354040454541</v>
      </c>
      <c r="H80" s="84">
        <f t="shared" si="12"/>
        <v>0.11144027358889441</v>
      </c>
      <c r="I80" s="84">
        <f t="shared" si="12"/>
        <v>7.9136274438910359E-2</v>
      </c>
      <c r="J80" s="84">
        <f t="shared" si="12"/>
        <v>5.4897479662157744E-2</v>
      </c>
      <c r="K80" s="84">
        <f t="shared" si="12"/>
        <v>3.7191674272995634E-2</v>
      </c>
      <c r="L80" s="83">
        <f t="shared" si="3"/>
        <v>1</v>
      </c>
      <c r="M80" s="82">
        <f t="shared" si="8"/>
        <v>0.10512000000000001</v>
      </c>
      <c r="N80" s="83">
        <f t="shared" si="9"/>
        <v>5.3584736481937005E-2</v>
      </c>
      <c r="O80" s="82">
        <f t="shared" si="4"/>
        <v>0</v>
      </c>
      <c r="P80" s="83">
        <f t="shared" si="7"/>
        <v>2.4477951720410857E-16</v>
      </c>
      <c r="Q80" s="71"/>
    </row>
    <row r="81" spans="1:17">
      <c r="A81" s="81">
        <f t="shared" si="5"/>
        <v>5</v>
      </c>
      <c r="B81" s="81">
        <f t="shared" si="6"/>
        <v>32</v>
      </c>
      <c r="C81" s="82">
        <f t="shared" ref="C81:C112" si="13">IF((B81-$C$13/$C$16*A81)&gt;0,SQRT(B81-$C$13/$C$16*A81),0)</f>
        <v>5.6565018322586837</v>
      </c>
      <c r="D81" s="83">
        <f t="shared" ref="D81:D112" si="14">IF(C81&gt;0,0.5*EXP(-$C$12*$A81/$C$16)*(EXP(-$C$13*$A81/$C$16*$C$37/$C$36)*2*NORMSDIST(-($C$13*$A81/$C$16/(2*$C$36*$C81)-$C$37*$C81)*SQRT(2))+EXP($C$13*$A81/$C$16*$C$37/$C$36)*2*NORMSDIST(-($C$13*$A81/$C$16/(2*$C$36*$C81)+$C$37*$C81)*SQRT(2)))*$C$9,0)</f>
        <v>0.35697545518592189</v>
      </c>
      <c r="E81" s="84">
        <f t="shared" si="12"/>
        <v>0.27901799457185783</v>
      </c>
      <c r="F81" s="84">
        <f t="shared" si="12"/>
        <v>0.21353183131515641</v>
      </c>
      <c r="G81" s="84">
        <f t="shared" si="12"/>
        <v>0.15993307250389988</v>
      </c>
      <c r="H81" s="84">
        <f t="shared" si="12"/>
        <v>0.11718926254197148</v>
      </c>
      <c r="I81" s="84">
        <f t="shared" si="12"/>
        <v>8.3976498161696167E-2</v>
      </c>
      <c r="J81" s="84">
        <f t="shared" si="12"/>
        <v>5.8831587360141935E-2</v>
      </c>
      <c r="K81" s="84">
        <f t="shared" si="12"/>
        <v>4.0283102615529032E-2</v>
      </c>
      <c r="L81" s="83">
        <f t="shared" ref="L81:L112" si="15">$C$9*EXP($C$12*$A81/$C$16)*EXP(-$C$13*$A81/$C$16*$C$37/$C$36)</f>
        <v>1</v>
      </c>
      <c r="M81" s="82">
        <f t="shared" si="8"/>
        <v>0.10512000000000001</v>
      </c>
      <c r="N81" s="83">
        <f t="shared" si="9"/>
        <v>6.9353557921545267E-2</v>
      </c>
      <c r="O81" s="82">
        <f t="shared" ref="O81:O112" si="16">SQRT(4*$C$12*$C$11)</f>
        <v>0</v>
      </c>
      <c r="P81" s="83">
        <f t="shared" si="7"/>
        <v>7.1041702515389952E-16</v>
      </c>
      <c r="Q81" s="71"/>
    </row>
    <row r="82" spans="1:17">
      <c r="A82" s="81">
        <f t="shared" ref="A82:A113" si="17">IF(ISBLANK($C$44),A81+$C$42,$C$44)</f>
        <v>5</v>
      </c>
      <c r="B82" s="81">
        <f t="shared" ref="B82:B113" si="18">IF(ISBLANK($C$43),B81+$C$41,$C$43)</f>
        <v>33</v>
      </c>
      <c r="C82" s="82">
        <f t="shared" si="13"/>
        <v>5.7442156103636854</v>
      </c>
      <c r="D82" s="83">
        <f t="shared" si="14"/>
        <v>0.3643656522016101</v>
      </c>
      <c r="E82" s="84">
        <f t="shared" si="12"/>
        <v>0.28642461793342022</v>
      </c>
      <c r="F82" s="84">
        <f t="shared" si="12"/>
        <v>0.22060616557314128</v>
      </c>
      <c r="G82" s="84">
        <f t="shared" si="12"/>
        <v>0.16640809364704712</v>
      </c>
      <c r="H82" s="84">
        <f t="shared" si="12"/>
        <v>0.12288951869716103</v>
      </c>
      <c r="I82" s="84">
        <f t="shared" si="12"/>
        <v>8.8815752479274312E-2</v>
      </c>
      <c r="J82" s="84">
        <f t="shared" si="12"/>
        <v>6.2800967298361154E-2</v>
      </c>
      <c r="K82" s="84">
        <f t="shared" si="12"/>
        <v>4.3433404894264616E-2</v>
      </c>
      <c r="L82" s="83">
        <f t="shared" si="15"/>
        <v>1</v>
      </c>
      <c r="M82" s="82">
        <f t="shared" si="8"/>
        <v>0.10512000000000001</v>
      </c>
      <c r="N82" s="83">
        <f t="shared" si="9"/>
        <v>8.7772640992421908E-2</v>
      </c>
      <c r="O82" s="82">
        <f t="shared" si="16"/>
        <v>0</v>
      </c>
      <c r="P82" s="83">
        <f t="shared" ref="P82:P113" si="19">$C$9/2*(EXP((-$O82)*$A82/(2*($C$11)))*2*NORMSDIST(-(($C$14*$A82-$O82*$B82)/(2*SQRT(($C$11)*$C$14*$B82)))*SQRT(2))+EXP(($O82)*$A82/(2*($C$11)))*2*NORMSDIST(-(($C$14*$A82+$O82*$B82)/(2*SQRT(($C$11)*$C$14*$B82)))*SQRT(2)))</f>
        <v>1.9337539001119524E-15</v>
      </c>
      <c r="Q82" s="71"/>
    </row>
    <row r="83" spans="1:17">
      <c r="A83" s="81">
        <f t="shared" si="17"/>
        <v>5</v>
      </c>
      <c r="B83" s="81">
        <f t="shared" si="18"/>
        <v>34</v>
      </c>
      <c r="C83" s="82">
        <f t="shared" si="13"/>
        <v>5.8306100005356081</v>
      </c>
      <c r="D83" s="83">
        <f t="shared" si="14"/>
        <v>0.3715159888399433</v>
      </c>
      <c r="E83" s="84">
        <f t="shared" si="12"/>
        <v>0.29362500153446014</v>
      </c>
      <c r="F83" s="84">
        <f t="shared" si="12"/>
        <v>0.22752158233365449</v>
      </c>
      <c r="G83" s="84">
        <f t="shared" si="12"/>
        <v>0.1727775715230091</v>
      </c>
      <c r="H83" s="84">
        <f t="shared" si="12"/>
        <v>0.12853653789052411</v>
      </c>
      <c r="I83" s="84">
        <f t="shared" si="12"/>
        <v>9.3647429596416032E-2</v>
      </c>
      <c r="J83" s="84">
        <f t="shared" si="12"/>
        <v>6.679828745546823E-2</v>
      </c>
      <c r="K83" s="84">
        <f t="shared" si="12"/>
        <v>4.6635671214696472E-2</v>
      </c>
      <c r="L83" s="83">
        <f t="shared" si="15"/>
        <v>1</v>
      </c>
      <c r="M83" s="82">
        <f t="shared" si="8"/>
        <v>0.10512000000000001</v>
      </c>
      <c r="N83" s="83">
        <f t="shared" si="9"/>
        <v>0.10884866640014357</v>
      </c>
      <c r="O83" s="82">
        <f t="shared" si="16"/>
        <v>0</v>
      </c>
      <c r="P83" s="83">
        <f t="shared" si="19"/>
        <v>4.9646652889611273E-15</v>
      </c>
      <c r="Q83" s="71"/>
    </row>
    <row r="84" spans="1:17">
      <c r="A84" s="81">
        <f t="shared" si="17"/>
        <v>5</v>
      </c>
      <c r="B84" s="81">
        <f t="shared" si="18"/>
        <v>35</v>
      </c>
      <c r="C84" s="82">
        <f t="shared" si="13"/>
        <v>5.9157428086712702</v>
      </c>
      <c r="D84" s="83">
        <f t="shared" si="14"/>
        <v>0.37843850292671499</v>
      </c>
      <c r="E84" s="84">
        <f t="shared" si="12"/>
        <v>0.3006272599855202</v>
      </c>
      <c r="F84" s="84">
        <f t="shared" si="12"/>
        <v>0.23428177753853596</v>
      </c>
      <c r="G84" s="84">
        <f t="shared" si="12"/>
        <v>0.17904105986464103</v>
      </c>
      <c r="H84" s="84">
        <f t="shared" si="12"/>
        <v>0.13412659694559892</v>
      </c>
      <c r="I84" s="84">
        <f t="shared" si="12"/>
        <v>9.8465718070928521E-2</v>
      </c>
      <c r="J84" s="84">
        <f t="shared" si="12"/>
        <v>7.0816885701560084E-2</v>
      </c>
      <c r="K84" s="84">
        <f t="shared" si="12"/>
        <v>4.9883452647476956E-2</v>
      </c>
      <c r="L84" s="83">
        <f t="shared" si="15"/>
        <v>1</v>
      </c>
      <c r="M84" s="82">
        <f t="shared" si="8"/>
        <v>0.10512000000000001</v>
      </c>
      <c r="N84" s="83">
        <f t="shared" si="9"/>
        <v>0.13251626741482531</v>
      </c>
      <c r="O84" s="82">
        <f t="shared" si="16"/>
        <v>0</v>
      </c>
      <c r="P84" s="83">
        <f t="shared" si="19"/>
        <v>1.2082345185815927E-14</v>
      </c>
      <c r="Q84" s="71"/>
    </row>
    <row r="85" spans="1:17">
      <c r="A85" s="81">
        <f t="shared" si="17"/>
        <v>5</v>
      </c>
      <c r="B85" s="81">
        <f t="shared" si="18"/>
        <v>36</v>
      </c>
      <c r="C85" s="82">
        <f t="shared" si="13"/>
        <v>5.999667738995706</v>
      </c>
      <c r="D85" s="83">
        <f t="shared" si="14"/>
        <v>0.38514447026619658</v>
      </c>
      <c r="E85" s="84">
        <f t="shared" si="12"/>
        <v>0.30743920654672019</v>
      </c>
      <c r="F85" s="84">
        <f t="shared" si="12"/>
        <v>0.24089059002732416</v>
      </c>
      <c r="G85" s="84">
        <f t="shared" si="12"/>
        <v>0.18519859798946725</v>
      </c>
      <c r="H85" s="84">
        <f t="shared" si="12"/>
        <v>0.13965665096033097</v>
      </c>
      <c r="I85" s="84">
        <f t="shared" si="12"/>
        <v>0.10326552050938687</v>
      </c>
      <c r="J85" s="84">
        <f t="shared" si="12"/>
        <v>7.4850720682561267E-2</v>
      </c>
      <c r="K85" s="84">
        <f t="shared" si="12"/>
        <v>5.3170747258256323E-2</v>
      </c>
      <c r="L85" s="83">
        <f t="shared" si="15"/>
        <v>1</v>
      </c>
      <c r="M85" s="82">
        <f t="shared" si="8"/>
        <v>0.10512000000000001</v>
      </c>
      <c r="N85" s="83">
        <f t="shared" si="9"/>
        <v>0.15864194658260583</v>
      </c>
      <c r="O85" s="82">
        <f t="shared" si="16"/>
        <v>0</v>
      </c>
      <c r="P85" s="83">
        <f t="shared" si="19"/>
        <v>2.7997263386497482E-14</v>
      </c>
      <c r="Q85" s="71"/>
    </row>
    <row r="86" spans="1:17">
      <c r="A86" s="81">
        <f t="shared" si="17"/>
        <v>5</v>
      </c>
      <c r="B86" s="81">
        <f t="shared" si="18"/>
        <v>37</v>
      </c>
      <c r="C86" s="82">
        <f t="shared" si="13"/>
        <v>6.0824347903077305</v>
      </c>
      <c r="D86" s="83">
        <f t="shared" si="14"/>
        <v>0.39164445660287983</v>
      </c>
      <c r="E86" s="84">
        <f t="shared" si="12"/>
        <v>0.31406834568639752</v>
      </c>
      <c r="F86" s="84">
        <f t="shared" si="12"/>
        <v>0.24735194521644877</v>
      </c>
      <c r="G86" s="84">
        <f t="shared" si="12"/>
        <v>0.1912506260542739</v>
      </c>
      <c r="H86" s="84">
        <f t="shared" si="12"/>
        <v>0.14512424358728104</v>
      </c>
      <c r="I86" s="84">
        <f t="shared" si="12"/>
        <v>0.10804237880119594</v>
      </c>
      <c r="J86" s="84">
        <f t="shared" si="12"/>
        <v>7.8894324151769224E-2</v>
      </c>
      <c r="K86" s="84">
        <f t="shared" si="12"/>
        <v>5.6491982656812212E-2</v>
      </c>
      <c r="L86" s="83">
        <f t="shared" si="15"/>
        <v>1</v>
      </c>
      <c r="M86" s="82">
        <f t="shared" si="8"/>
        <v>0.10512000000000001</v>
      </c>
      <c r="N86" s="83">
        <f t="shared" si="9"/>
        <v>0.18703121488581895</v>
      </c>
      <c r="O86" s="82">
        <f t="shared" si="16"/>
        <v>0</v>
      </c>
      <c r="P86" s="83">
        <f t="shared" si="19"/>
        <v>6.2016200290279305E-14</v>
      </c>
      <c r="Q86" s="71"/>
    </row>
    <row r="87" spans="1:17">
      <c r="A87" s="81">
        <f t="shared" si="17"/>
        <v>5</v>
      </c>
      <c r="B87" s="81">
        <f t="shared" si="18"/>
        <v>38</v>
      </c>
      <c r="C87" s="82">
        <f t="shared" si="13"/>
        <v>6.1640906043264687</v>
      </c>
      <c r="D87" s="83">
        <f t="shared" si="14"/>
        <v>0.39794836686085677</v>
      </c>
      <c r="E87" s="84">
        <f t="shared" si="12"/>
        <v>0.32052187133553289</v>
      </c>
      <c r="F87" s="84">
        <f t="shared" si="12"/>
        <v>0.25366981017954338</v>
      </c>
      <c r="G87" s="84">
        <f t="shared" si="12"/>
        <v>0.19719791355554039</v>
      </c>
      <c r="H87" s="84">
        <f t="shared" si="12"/>
        <v>0.15052742872635339</v>
      </c>
      <c r="I87" s="84">
        <f t="shared" si="12"/>
        <v>0.11279240647378952</v>
      </c>
      <c r="J87" s="84">
        <f t="shared" si="12"/>
        <v>8.2942755349259878E-2</v>
      </c>
      <c r="K87" s="84">
        <f t="shared" si="12"/>
        <v>5.9841996260550756E-2</v>
      </c>
      <c r="L87" s="83">
        <f t="shared" si="15"/>
        <v>1</v>
      </c>
      <c r="M87" s="82">
        <f t="shared" si="8"/>
        <v>0.10512000000000001</v>
      </c>
      <c r="N87" s="83">
        <f t="shared" si="9"/>
        <v>0.21743812468165075</v>
      </c>
      <c r="O87" s="82">
        <f t="shared" si="16"/>
        <v>0</v>
      </c>
      <c r="P87" s="83">
        <f t="shared" si="19"/>
        <v>1.3178350840474297E-13</v>
      </c>
      <c r="Q87" s="71"/>
    </row>
    <row r="88" spans="1:17">
      <c r="A88" s="81">
        <f t="shared" si="17"/>
        <v>5</v>
      </c>
      <c r="B88" s="81">
        <f t="shared" si="18"/>
        <v>39</v>
      </c>
      <c r="C88" s="82">
        <f t="shared" si="13"/>
        <v>6.2446787730311515</v>
      </c>
      <c r="D88" s="83">
        <f t="shared" si="14"/>
        <v>0.40406549146918902</v>
      </c>
      <c r="E88" s="84">
        <f t="shared" si="12"/>
        <v>0.32680666935343661</v>
      </c>
      <c r="F88" s="84">
        <f t="shared" si="12"/>
        <v>0.25984815797952732</v>
      </c>
      <c r="G88" s="84">
        <f t="shared" si="12"/>
        <v>0.20304149900014679</v>
      </c>
      <c r="H88" s="84">
        <f t="shared" si="12"/>
        <v>0.15586470221411863</v>
      </c>
      <c r="I88" s="84">
        <f t="shared" si="12"/>
        <v>0.11751222768205505</v>
      </c>
      <c r="J88" s="84">
        <f t="shared" si="12"/>
        <v>8.6991557801424424E-2</v>
      </c>
      <c r="K88" s="84">
        <f t="shared" si="12"/>
        <v>6.3216014192628567E-2</v>
      </c>
      <c r="L88" s="83">
        <f t="shared" si="15"/>
        <v>1</v>
      </c>
      <c r="M88" s="82">
        <f t="shared" si="8"/>
        <v>0.10512000000000001</v>
      </c>
      <c r="N88" s="83">
        <f t="shared" si="9"/>
        <v>0.24957632745332534</v>
      </c>
      <c r="O88" s="82">
        <f t="shared" si="16"/>
        <v>0</v>
      </c>
      <c r="P88" s="83">
        <f t="shared" si="19"/>
        <v>2.6950485256983517E-13</v>
      </c>
      <c r="Q88" s="71"/>
    </row>
    <row r="89" spans="1:17">
      <c r="A89" s="81">
        <f t="shared" si="17"/>
        <v>5</v>
      </c>
      <c r="B89" s="81">
        <f t="shared" si="18"/>
        <v>40</v>
      </c>
      <c r="C89" s="82">
        <f t="shared" si="13"/>
        <v>6.3242401107442028</v>
      </c>
      <c r="D89" s="83">
        <f t="shared" si="14"/>
        <v>0.41000454971408384</v>
      </c>
      <c r="E89" s="84">
        <f t="shared" ref="E89:K98" si="20">IF(D89&gt;0,0.5*EXP(-$C$12*$A89/$C$16)*(EXP(-$C$37*($C$13*$A89/$C$16/$C$36+$C$38*E$48))*2*NORMSDIST(-(($C$13*$A89/$C$16/$C$36+$C$38*E$48)/(2*$C89)-$C$37*$C89)*SQRT(2))+EXP($C$37*($C$13*$A89/$C$16/$C$36+$C$38*E$48))*2*NORMSDIST(-(($C$13*$A89/$C$16/$C$36+$C$38*E$48)/(2*$C89)+$C$37*$C89)*SQRT(2)))*$C$9,0)</f>
        <v>0.33292932306393919</v>
      </c>
      <c r="F89" s="84">
        <f t="shared" si="20"/>
        <v>0.26589093951327558</v>
      </c>
      <c r="G89" s="84">
        <f t="shared" si="20"/>
        <v>0.20878263900152438</v>
      </c>
      <c r="H89" s="84">
        <f t="shared" si="20"/>
        <v>0.16113494225222036</v>
      </c>
      <c r="I89" s="84">
        <f t="shared" si="20"/>
        <v>0.12219892231510965</v>
      </c>
      <c r="J89" s="84">
        <f t="shared" si="20"/>
        <v>9.1036718745666878E-2</v>
      </c>
      <c r="K89" s="84">
        <f t="shared" si="20"/>
        <v>6.6609629515752111E-2</v>
      </c>
      <c r="L89" s="83">
        <f t="shared" si="15"/>
        <v>1</v>
      </c>
      <c r="M89" s="82">
        <f t="shared" si="8"/>
        <v>0.10512000000000001</v>
      </c>
      <c r="N89" s="83">
        <f t="shared" si="9"/>
        <v>0.2831308279712737</v>
      </c>
      <c r="O89" s="82">
        <f t="shared" si="16"/>
        <v>0</v>
      </c>
      <c r="P89" s="83">
        <f t="shared" si="19"/>
        <v>5.3194516693985085E-13</v>
      </c>
      <c r="Q89" s="71"/>
    </row>
    <row r="90" spans="1:17">
      <c r="A90" s="81">
        <f t="shared" si="17"/>
        <v>5</v>
      </c>
      <c r="B90" s="81">
        <f t="shared" si="18"/>
        <v>41</v>
      </c>
      <c r="C90" s="82">
        <f t="shared" si="13"/>
        <v>6.4028128957783741</v>
      </c>
      <c r="D90" s="83">
        <f t="shared" si="14"/>
        <v>0.41577373014795782</v>
      </c>
      <c r="E90" s="84">
        <f t="shared" si="20"/>
        <v>0.33889612098595512</v>
      </c>
      <c r="F90" s="84">
        <f t="shared" si="20"/>
        <v>0.27180206145906038</v>
      </c>
      <c r="G90" s="84">
        <f t="shared" si="20"/>
        <v>0.21442276533451343</v>
      </c>
      <c r="H90" s="84">
        <f t="shared" si="20"/>
        <v>0.16633735746501443</v>
      </c>
      <c r="I90" s="84">
        <f t="shared" si="20"/>
        <v>0.12684997670023335</v>
      </c>
      <c r="J90" s="84">
        <f t="shared" si="20"/>
        <v>9.5074631264535636E-2</v>
      </c>
      <c r="K90" s="84">
        <f t="shared" si="20"/>
        <v>7.0018780328983787E-2</v>
      </c>
      <c r="L90" s="83">
        <f t="shared" si="15"/>
        <v>1</v>
      </c>
      <c r="M90" s="82">
        <f t="shared" si="8"/>
        <v>0.10512000000000001</v>
      </c>
      <c r="N90" s="83">
        <f t="shared" si="9"/>
        <v>0.31776970448295788</v>
      </c>
      <c r="O90" s="82">
        <f t="shared" si="16"/>
        <v>0</v>
      </c>
      <c r="P90" s="83">
        <f t="shared" si="19"/>
        <v>1.015981366901167E-12</v>
      </c>
      <c r="Q90" s="71"/>
    </row>
    <row r="91" spans="1:17">
      <c r="A91" s="81">
        <f t="shared" si="17"/>
        <v>5</v>
      </c>
      <c r="B91" s="81">
        <f t="shared" si="18"/>
        <v>42</v>
      </c>
      <c r="C91" s="82">
        <f t="shared" si="13"/>
        <v>6.480433085708535</v>
      </c>
      <c r="D91" s="83">
        <f t="shared" si="14"/>
        <v>0.42138072814407734</v>
      </c>
      <c r="E91" s="84">
        <f t="shared" si="20"/>
        <v>0.34471306608650942</v>
      </c>
      <c r="F91" s="84">
        <f t="shared" si="20"/>
        <v>0.2775853691820549</v>
      </c>
      <c r="G91" s="84">
        <f t="shared" si="20"/>
        <v>0.21996344871551221</v>
      </c>
      <c r="H91" s="84">
        <f t="shared" si="20"/>
        <v>0.17147144161143357</v>
      </c>
      <c r="I91" s="84">
        <f t="shared" si="20"/>
        <v>0.13146323939768156</v>
      </c>
      <c r="J91" s="84">
        <f t="shared" si="20"/>
        <v>9.9102059127790465E-2</v>
      </c>
      <c r="K91" s="84">
        <f t="shared" si="20"/>
        <v>7.3439728117861813E-2</v>
      </c>
      <c r="L91" s="83">
        <f t="shared" si="15"/>
        <v>1</v>
      </c>
      <c r="M91" s="82">
        <f t="shared" si="8"/>
        <v>0.10512000000000001</v>
      </c>
      <c r="N91" s="83">
        <f t="shared" si="9"/>
        <v>0.35315519720428712</v>
      </c>
      <c r="O91" s="82">
        <f t="shared" si="16"/>
        <v>0</v>
      </c>
      <c r="P91" s="83">
        <f t="shared" si="19"/>
        <v>1.8820891388122906E-12</v>
      </c>
      <c r="Q91" s="71"/>
    </row>
    <row r="92" spans="1:17">
      <c r="A92" s="81">
        <f t="shared" si="17"/>
        <v>5</v>
      </c>
      <c r="B92" s="81">
        <f t="shared" si="18"/>
        <v>43</v>
      </c>
      <c r="C92" s="82">
        <f t="shared" si="13"/>
        <v>6.557134509703598</v>
      </c>
      <c r="D92" s="83">
        <f t="shared" si="14"/>
        <v>0.42683278072233044</v>
      </c>
      <c r="E92" s="84">
        <f t="shared" si="20"/>
        <v>0.35038588604214693</v>
      </c>
      <c r="F92" s="84">
        <f t="shared" si="20"/>
        <v>0.28324463366691477</v>
      </c>
      <c r="G92" s="84">
        <f t="shared" si="20"/>
        <v>0.22540636827016303</v>
      </c>
      <c r="H92" s="84">
        <f t="shared" si="20"/>
        <v>0.1765369340973828</v>
      </c>
      <c r="I92" s="84">
        <f t="shared" si="20"/>
        <v>0.13603688160474925</v>
      </c>
      <c r="J92" s="84">
        <f t="shared" si="20"/>
        <v>0.10311610428142703</v>
      </c>
      <c r="K92" s="84">
        <f t="shared" si="20"/>
        <v>7.6869036640681676E-2</v>
      </c>
      <c r="L92" s="83">
        <f t="shared" si="15"/>
        <v>1</v>
      </c>
      <c r="M92" s="82">
        <f t="shared" si="8"/>
        <v>0.10512000000000001</v>
      </c>
      <c r="N92" s="83">
        <f t="shared" si="9"/>
        <v>0.38895371481697161</v>
      </c>
      <c r="O92" s="82">
        <f t="shared" si="16"/>
        <v>0</v>
      </c>
      <c r="P92" s="83">
        <f t="shared" si="19"/>
        <v>3.3888529196131984E-12</v>
      </c>
      <c r="Q92" s="71"/>
    </row>
    <row r="93" spans="1:17">
      <c r="A93" s="81">
        <f t="shared" si="17"/>
        <v>5</v>
      </c>
      <c r="B93" s="81">
        <f t="shared" si="18"/>
        <v>44</v>
      </c>
      <c r="C93" s="82">
        <f t="shared" si="13"/>
        <v>6.6329490408374046</v>
      </c>
      <c r="D93" s="83">
        <f t="shared" si="14"/>
        <v>0.43213669879325822</v>
      </c>
      <c r="E93" s="84">
        <f t="shared" si="20"/>
        <v>0.35592004411686018</v>
      </c>
      <c r="F93" s="84">
        <f t="shared" si="20"/>
        <v>0.28878354171912335</v>
      </c>
      <c r="G93" s="84">
        <f t="shared" si="20"/>
        <v>0.23075328581475807</v>
      </c>
      <c r="H93" s="84">
        <f t="shared" si="20"/>
        <v>0.18153378554308097</v>
      </c>
      <c r="I93" s="84">
        <f t="shared" si="20"/>
        <v>0.14056936171825729</v>
      </c>
      <c r="J93" s="84">
        <f t="shared" si="20"/>
        <v>0.10711417688275127</v>
      </c>
      <c r="K93" s="84">
        <f t="shared" si="20"/>
        <v>8.0303551550028107E-2</v>
      </c>
      <c r="L93" s="83">
        <f t="shared" si="15"/>
        <v>1</v>
      </c>
      <c r="M93" s="82">
        <f t="shared" si="8"/>
        <v>0.10512000000000001</v>
      </c>
      <c r="N93" s="83">
        <f t="shared" si="9"/>
        <v>0.424844455208227</v>
      </c>
      <c r="O93" s="82">
        <f t="shared" si="16"/>
        <v>0</v>
      </c>
      <c r="P93" s="83">
        <f t="shared" si="19"/>
        <v>5.9424033017996595E-12</v>
      </c>
      <c r="Q93" s="71"/>
    </row>
    <row r="94" spans="1:17">
      <c r="A94" s="81">
        <f t="shared" si="17"/>
        <v>5</v>
      </c>
      <c r="B94" s="81">
        <f t="shared" si="18"/>
        <v>45</v>
      </c>
      <c r="C94" s="82">
        <f t="shared" si="13"/>
        <v>6.7079067508683989</v>
      </c>
      <c r="D94" s="83">
        <f t="shared" si="14"/>
        <v>0.43729889697834223</v>
      </c>
      <c r="E94" s="84">
        <f t="shared" si="20"/>
        <v>0.36132075035938449</v>
      </c>
      <c r="F94" s="84">
        <f t="shared" si="20"/>
        <v>0.29420568881662601</v>
      </c>
      <c r="G94" s="84">
        <f t="shared" si="20"/>
        <v>0.23600602421493888</v>
      </c>
      <c r="H94" s="84">
        <f t="shared" si="20"/>
        <v>0.18646212775528737</v>
      </c>
      <c r="I94" s="84">
        <f t="shared" si="20"/>
        <v>0.14505939363840659</v>
      </c>
      <c r="J94" s="84">
        <f t="shared" si="20"/>
        <v>0.11109396775518032</v>
      </c>
      <c r="K94" s="84">
        <f t="shared" si="20"/>
        <v>8.3740380883723153E-2</v>
      </c>
      <c r="L94" s="83">
        <f t="shared" si="15"/>
        <v>1</v>
      </c>
      <c r="M94" s="82">
        <f t="shared" si="8"/>
        <v>0.10512000000000001</v>
      </c>
      <c r="N94" s="83">
        <f t="shared" si="9"/>
        <v>0.46052647113573503</v>
      </c>
      <c r="O94" s="82">
        <f t="shared" si="16"/>
        <v>0</v>
      </c>
      <c r="P94" s="83">
        <f t="shared" si="19"/>
        <v>1.0165593635824413E-11</v>
      </c>
      <c r="Q94" s="71"/>
    </row>
    <row r="95" spans="1:17">
      <c r="A95" s="81">
        <f t="shared" si="17"/>
        <v>5</v>
      </c>
      <c r="B95" s="81">
        <f t="shared" si="18"/>
        <v>46</v>
      </c>
      <c r="C95" s="82">
        <f t="shared" si="13"/>
        <v>6.7820360496200438</v>
      </c>
      <c r="D95" s="83">
        <f t="shared" si="14"/>
        <v>0.44232542116802698</v>
      </c>
      <c r="E95" s="84">
        <f t="shared" si="20"/>
        <v>0.36659297289616122</v>
      </c>
      <c r="F95" s="84">
        <f t="shared" si="20"/>
        <v>0.29951457410666915</v>
      </c>
      <c r="G95" s="84">
        <f t="shared" si="20"/>
        <v>0.24116644920045305</v>
      </c>
      <c r="H95" s="84">
        <f t="shared" si="20"/>
        <v>0.1913222475383396</v>
      </c>
      <c r="I95" s="84">
        <f t="shared" si="20"/>
        <v>0.14950591843164718</v>
      </c>
      <c r="J95" s="84">
        <f t="shared" si="20"/>
        <v>0.11505342312162314</v>
      </c>
      <c r="K95" s="84">
        <f t="shared" si="20"/>
        <v>8.7176876509463153E-2</v>
      </c>
      <c r="L95" s="83">
        <f t="shared" si="15"/>
        <v>1</v>
      </c>
      <c r="M95" s="82">
        <f t="shared" si="8"/>
        <v>0.10512000000000001</v>
      </c>
      <c r="N95" s="83">
        <f t="shared" si="9"/>
        <v>0.49572412686885176</v>
      </c>
      <c r="O95" s="82">
        <f t="shared" si="16"/>
        <v>0</v>
      </c>
      <c r="P95" s="83">
        <f t="shared" si="19"/>
        <v>1.6992707369984352E-11</v>
      </c>
      <c r="Q95" s="71"/>
    </row>
    <row r="96" spans="1:17">
      <c r="A96" s="81">
        <f t="shared" si="17"/>
        <v>5</v>
      </c>
      <c r="B96" s="81">
        <f t="shared" si="18"/>
        <v>47</v>
      </c>
      <c r="C96" s="82">
        <f t="shared" si="13"/>
        <v>6.8553638107941319</v>
      </c>
      <c r="D96" s="83">
        <f t="shared" si="14"/>
        <v>0.44722197397743435</v>
      </c>
      <c r="E96" s="84">
        <f t="shared" si="20"/>
        <v>0.3717414491532518</v>
      </c>
      <c r="F96" s="84">
        <f t="shared" si="20"/>
        <v>0.30471359713494506</v>
      </c>
      <c r="G96" s="84">
        <f t="shared" si="20"/>
        <v>0.24623645411134643</v>
      </c>
      <c r="H96" s="84">
        <f t="shared" si="20"/>
        <v>0.19611456385145232</v>
      </c>
      <c r="I96" s="84">
        <f t="shared" si="20"/>
        <v>0.15390807900433523</v>
      </c>
      <c r="J96" s="84">
        <f t="shared" si="20"/>
        <v>0.11899072146820022</v>
      </c>
      <c r="K96" s="84">
        <f t="shared" si="20"/>
        <v>9.0610616569356317E-2</v>
      </c>
      <c r="L96" s="83">
        <f t="shared" si="15"/>
        <v>1</v>
      </c>
      <c r="M96" s="82">
        <f t="shared" si="8"/>
        <v>0.10512000000000001</v>
      </c>
      <c r="N96" s="83">
        <f t="shared" si="9"/>
        <v>0.53019098470468051</v>
      </c>
      <c r="O96" s="82">
        <f t="shared" si="16"/>
        <v>0</v>
      </c>
      <c r="P96" s="83">
        <f t="shared" si="19"/>
        <v>2.7796512778792146E-11</v>
      </c>
      <c r="Q96" s="71"/>
    </row>
    <row r="97" spans="1:17">
      <c r="A97" s="81">
        <f t="shared" si="17"/>
        <v>5</v>
      </c>
      <c r="B97" s="81">
        <f t="shared" si="18"/>
        <v>48</v>
      </c>
      <c r="C97" s="82">
        <f t="shared" si="13"/>
        <v>6.9279154857969969</v>
      </c>
      <c r="D97" s="83">
        <f t="shared" si="14"/>
        <v>0.45199393825489764</v>
      </c>
      <c r="E97" s="84">
        <f t="shared" si="20"/>
        <v>0.37677069688466158</v>
      </c>
      <c r="F97" s="84">
        <f t="shared" si="20"/>
        <v>0.30980605596921573</v>
      </c>
      <c r="G97" s="84">
        <f t="shared" si="20"/>
        <v>0.25121794713207946</v>
      </c>
      <c r="H97" s="84">
        <f t="shared" si="20"/>
        <v>0.20083960788388699</v>
      </c>
      <c r="I97" s="84">
        <f t="shared" si="20"/>
        <v>0.15826519747174705</v>
      </c>
      <c r="J97" s="84">
        <f t="shared" si="20"/>
        <v>0.12290425238844316</v>
      </c>
      <c r="K97" s="84">
        <f t="shared" si="20"/>
        <v>9.4039388941894231E-2</v>
      </c>
      <c r="L97" s="83">
        <f t="shared" si="15"/>
        <v>1</v>
      </c>
      <c r="M97" s="82">
        <f t="shared" si="8"/>
        <v>0.10512000000000001</v>
      </c>
      <c r="N97" s="83">
        <f t="shared" si="9"/>
        <v>0.56371222990310976</v>
      </c>
      <c r="O97" s="82">
        <f t="shared" si="16"/>
        <v>0</v>
      </c>
      <c r="P97" s="83">
        <f t="shared" si="19"/>
        <v>4.4555519659988771E-11</v>
      </c>
      <c r="Q97" s="71"/>
    </row>
    <row r="98" spans="1:17">
      <c r="A98" s="81">
        <f t="shared" si="17"/>
        <v>5</v>
      </c>
      <c r="B98" s="81">
        <f t="shared" si="18"/>
        <v>49</v>
      </c>
      <c r="C98" s="82">
        <f t="shared" si="13"/>
        <v>6.9997152069456261</v>
      </c>
      <c r="D98" s="83">
        <f t="shared" si="14"/>
        <v>0.45664639879150659</v>
      </c>
      <c r="E98" s="84">
        <f t="shared" si="20"/>
        <v>0.38168502491874623</v>
      </c>
      <c r="F98" s="84">
        <f t="shared" si="20"/>
        <v>0.31479514644081519</v>
      </c>
      <c r="G98" s="84">
        <f t="shared" si="20"/>
        <v>0.25611284063822937</v>
      </c>
      <c r="H98" s="84">
        <f t="shared" si="20"/>
        <v>0.20549800567545962</v>
      </c>
      <c r="I98" s="84">
        <f t="shared" si="20"/>
        <v>0.1625767549378252</v>
      </c>
      <c r="J98" s="84">
        <f t="shared" si="20"/>
        <v>0.12679259726036562</v>
      </c>
      <c r="K98" s="84">
        <f t="shared" si="20"/>
        <v>9.7461175717541426E-2</v>
      </c>
      <c r="L98" s="83">
        <f t="shared" si="15"/>
        <v>1</v>
      </c>
      <c r="M98" s="82">
        <f t="shared" si="8"/>
        <v>0.10512000000000001</v>
      </c>
      <c r="N98" s="83">
        <f t="shared" si="9"/>
        <v>0.59610579031223854</v>
      </c>
      <c r="O98" s="82">
        <f t="shared" si="16"/>
        <v>0</v>
      </c>
      <c r="P98" s="83">
        <f t="shared" si="19"/>
        <v>7.0070306659854091E-11</v>
      </c>
      <c r="Q98" s="71"/>
    </row>
    <row r="99" spans="1:17">
      <c r="A99" s="81">
        <f t="shared" si="17"/>
        <v>5</v>
      </c>
      <c r="B99" s="81">
        <f t="shared" si="18"/>
        <v>50</v>
      </c>
      <c r="C99" s="82">
        <f t="shared" si="13"/>
        <v>7.0707858812402069</v>
      </c>
      <c r="D99" s="83">
        <f t="shared" si="14"/>
        <v>0.46118416237171567</v>
      </c>
      <c r="E99" s="84">
        <f t="shared" ref="E99:K108" si="21">IF(D99&gt;0,0.5*EXP(-$C$12*$A99/$C$16)*(EXP(-$C$37*($C$13*$A99/$C$16/$C$36+$C$38*E$48))*2*NORMSDIST(-(($C$13*$A99/$C$16/$C$36+$C$38*E$48)/(2*$C99)-$C$37*$C99)*SQRT(2))+EXP($C$37*($C$13*$A99/$C$16/$C$36+$C$38*E$48))*2*NORMSDIST(-(($C$13*$A99/$C$16/$C$36+$C$38*E$48)/(2*$C99)+$C$37*$C99)*SQRT(2)))*$C$9,0)</f>
        <v>0.38648854356082118</v>
      </c>
      <c r="F99" s="84">
        <f t="shared" si="21"/>
        <v>0.31968396227746787</v>
      </c>
      <c r="G99" s="84">
        <f t="shared" si="21"/>
        <v>0.26092304233775954</v>
      </c>
      <c r="H99" s="84">
        <f t="shared" si="21"/>
        <v>0.21009046295843348</v>
      </c>
      <c r="I99" s="84">
        <f t="shared" si="21"/>
        <v>0.16684237342968045</v>
      </c>
      <c r="J99" s="84">
        <f t="shared" si="21"/>
        <v>0.13065451161365549</v>
      </c>
      <c r="K99" s="84">
        <f t="shared" si="21"/>
        <v>0.10087413866854589</v>
      </c>
      <c r="L99" s="83">
        <f t="shared" si="15"/>
        <v>1</v>
      </c>
      <c r="M99" s="82">
        <f t="shared" si="8"/>
        <v>0.10512000000000001</v>
      </c>
      <c r="N99" s="83">
        <f t="shared" si="9"/>
        <v>0.62722233529965066</v>
      </c>
      <c r="O99" s="82">
        <f t="shared" si="16"/>
        <v>0</v>
      </c>
      <c r="P99" s="83">
        <f t="shared" si="19"/>
        <v>1.0823873909348561E-10</v>
      </c>
      <c r="Q99" s="71"/>
    </row>
    <row r="100" spans="1:17">
      <c r="A100" s="81">
        <f t="shared" si="17"/>
        <v>5</v>
      </c>
      <c r="B100" s="81">
        <f t="shared" si="18"/>
        <v>51</v>
      </c>
      <c r="C100" s="82">
        <f t="shared" si="13"/>
        <v>7.1411492757360735</v>
      </c>
      <c r="D100" s="83">
        <f t="shared" si="14"/>
        <v>0.46561177629626238</v>
      </c>
      <c r="E100" s="84">
        <f t="shared" si="21"/>
        <v>0.39118517461048841</v>
      </c>
      <c r="F100" s="84">
        <f t="shared" si="21"/>
        <v>0.32447549594182412</v>
      </c>
      <c r="G100" s="84">
        <f t="shared" si="21"/>
        <v>0.26565044793714065</v>
      </c>
      <c r="H100" s="84">
        <f t="shared" si="21"/>
        <v>0.21461775193903065</v>
      </c>
      <c r="I100" s="84">
        <f t="shared" si="21"/>
        <v>0.17106179975718039</v>
      </c>
      <c r="J100" s="84">
        <f t="shared" si="21"/>
        <v>0.13448890905080058</v>
      </c>
      <c r="K100" s="84">
        <f t="shared" si="21"/>
        <v>0.10427660568245667</v>
      </c>
      <c r="L100" s="83">
        <f t="shared" si="15"/>
        <v>1</v>
      </c>
      <c r="M100" s="82">
        <f t="shared" si="8"/>
        <v>0.10512000000000001</v>
      </c>
      <c r="N100" s="83">
        <f t="shared" si="9"/>
        <v>0.65694435076186564</v>
      </c>
      <c r="O100" s="82">
        <f t="shared" si="16"/>
        <v>0</v>
      </c>
      <c r="P100" s="83">
        <f t="shared" si="19"/>
        <v>1.6440074602248667E-10</v>
      </c>
      <c r="Q100" s="71"/>
    </row>
    <row r="101" spans="1:17">
      <c r="A101" s="81">
        <f t="shared" si="17"/>
        <v>5</v>
      </c>
      <c r="B101" s="81">
        <f t="shared" si="18"/>
        <v>52</v>
      </c>
      <c r="C101" s="82">
        <f t="shared" si="13"/>
        <v>7.2108260954169356</v>
      </c>
      <c r="D101" s="83">
        <f t="shared" si="14"/>
        <v>0.46993354549966027</v>
      </c>
      <c r="E101" s="84">
        <f t="shared" si="21"/>
        <v>0.39577866096783332</v>
      </c>
      <c r="F101" s="84">
        <f t="shared" si="21"/>
        <v>0.32917264002366742</v>
      </c>
      <c r="G101" s="84">
        <f t="shared" si="21"/>
        <v>0.27029693510331576</v>
      </c>
      <c r="H101" s="84">
        <f t="shared" si="21"/>
        <v>0.21908069977337452</v>
      </c>
      <c r="I101" s="84">
        <f t="shared" si="21"/>
        <v>0.1752348910919459</v>
      </c>
      <c r="J101" s="84">
        <f t="shared" si="21"/>
        <v>0.13829484659356206</v>
      </c>
      <c r="K101" s="84">
        <f t="shared" si="21"/>
        <v>0.10766705812120247</v>
      </c>
      <c r="L101" s="83">
        <f t="shared" si="15"/>
        <v>1</v>
      </c>
      <c r="M101" s="82">
        <f t="shared" si="8"/>
        <v>0.10512000000000001</v>
      </c>
      <c r="N101" s="83">
        <f t="shared" si="9"/>
        <v>0.6851844863595391</v>
      </c>
      <c r="O101" s="82">
        <f t="shared" si="16"/>
        <v>0</v>
      </c>
      <c r="P101" s="83">
        <f t="shared" si="19"/>
        <v>2.457640340275422E-10</v>
      </c>
      <c r="Q101" s="71"/>
    </row>
    <row r="102" spans="1:17">
      <c r="A102" s="81">
        <f t="shared" si="17"/>
        <v>5</v>
      </c>
      <c r="B102" s="81">
        <f t="shared" si="18"/>
        <v>53</v>
      </c>
      <c r="C102" s="82">
        <f t="shared" si="13"/>
        <v>7.279836054359043</v>
      </c>
      <c r="D102" s="83">
        <f t="shared" si="14"/>
        <v>0.47415354837562163</v>
      </c>
      <c r="E102" s="84">
        <f t="shared" si="21"/>
        <v>0.4002725758146064</v>
      </c>
      <c r="F102" s="84">
        <f t="shared" si="21"/>
        <v>0.33377818906132162</v>
      </c>
      <c r="G102" s="84">
        <f t="shared" si="21"/>
        <v>0.27486435852686197</v>
      </c>
      <c r="H102" s="84">
        <f t="shared" si="21"/>
        <v>0.2234801785244569</v>
      </c>
      <c r="I102" s="84">
        <f t="shared" si="21"/>
        <v>0.17936160208185381</v>
      </c>
      <c r="J102" s="84">
        <f t="shared" si="21"/>
        <v>0.14207151133435447</v>
      </c>
      <c r="K102" s="84">
        <f t="shared" si="21"/>
        <v>0.1110441190626057</v>
      </c>
      <c r="L102" s="83">
        <f t="shared" si="15"/>
        <v>1</v>
      </c>
      <c r="M102" s="82">
        <f t="shared" si="8"/>
        <v>0.10512000000000001</v>
      </c>
      <c r="N102" s="83">
        <f t="shared" si="9"/>
        <v>0.71188336101470973</v>
      </c>
      <c r="O102" s="82">
        <f t="shared" si="16"/>
        <v>0</v>
      </c>
      <c r="P102" s="83">
        <f t="shared" si="19"/>
        <v>3.6192264900592887E-10</v>
      </c>
      <c r="Q102" s="71"/>
    </row>
    <row r="103" spans="1:17">
      <c r="A103" s="81">
        <f t="shared" si="17"/>
        <v>5</v>
      </c>
      <c r="B103" s="81">
        <f t="shared" si="18"/>
        <v>54</v>
      </c>
      <c r="C103" s="82">
        <f t="shared" si="13"/>
        <v>7.3481979408795084</v>
      </c>
      <c r="D103" s="83">
        <f t="shared" si="14"/>
        <v>0.47827565141510275</v>
      </c>
      <c r="E103" s="84">
        <f t="shared" si="21"/>
        <v>0.40467033136555441</v>
      </c>
      <c r="F103" s="84">
        <f t="shared" si="21"/>
        <v>0.33829484169041479</v>
      </c>
      <c r="G103" s="84">
        <f t="shared" si="21"/>
        <v>0.27935454592077891</v>
      </c>
      <c r="H103" s="84">
        <f t="shared" si="21"/>
        <v>0.22781709641425429</v>
      </c>
      <c r="I103" s="84">
        <f t="shared" si="21"/>
        <v>0.18344197333675671</v>
      </c>
      <c r="J103" s="84">
        <f t="shared" si="21"/>
        <v>0.14581820828042114</v>
      </c>
      <c r="K103" s="84">
        <f t="shared" si="21"/>
        <v>0.11440654237829584</v>
      </c>
      <c r="L103" s="83">
        <f t="shared" si="15"/>
        <v>1</v>
      </c>
      <c r="M103" s="82">
        <f t="shared" si="8"/>
        <v>0.10512000000000001</v>
      </c>
      <c r="N103" s="83">
        <f t="shared" si="9"/>
        <v>0.73700699608746256</v>
      </c>
      <c r="O103" s="82">
        <f t="shared" si="16"/>
        <v>0</v>
      </c>
      <c r="P103" s="83">
        <f t="shared" si="19"/>
        <v>5.2548062680338238E-10</v>
      </c>
      <c r="Q103" s="71"/>
    </row>
    <row r="104" spans="1:17">
      <c r="A104" s="81">
        <f t="shared" si="17"/>
        <v>5</v>
      </c>
      <c r="B104" s="81">
        <f t="shared" si="18"/>
        <v>55</v>
      </c>
      <c r="C104" s="82">
        <f t="shared" si="13"/>
        <v>7.4159296772788945</v>
      </c>
      <c r="D104" s="83">
        <f t="shared" si="14"/>
        <v>0.48230352275343602</v>
      </c>
      <c r="E104" s="84">
        <f t="shared" si="21"/>
        <v>0.40897518719184989</v>
      </c>
      <c r="F104" s="84">
        <f t="shared" si="21"/>
        <v>0.34272520303678489</v>
      </c>
      <c r="G104" s="84">
        <f t="shared" si="21"/>
        <v>0.28376929481388347</v>
      </c>
      <c r="H104" s="84">
        <f t="shared" si="21"/>
        <v>0.2320923902090124</v>
      </c>
      <c r="I104" s="84">
        <f t="shared" si="21"/>
        <v>0.18747612113880385</v>
      </c>
      <c r="J104" s="84">
        <f t="shared" si="21"/>
        <v>0.14953434928698872</v>
      </c>
      <c r="K104" s="84">
        <f t="shared" si="21"/>
        <v>0.11775320260058875</v>
      </c>
      <c r="L104" s="83">
        <f t="shared" si="15"/>
        <v>1</v>
      </c>
      <c r="M104" s="82">
        <f t="shared" si="8"/>
        <v>0.10512000000000001</v>
      </c>
      <c r="N104" s="83">
        <f t="shared" si="9"/>
        <v>0.76054402507241159</v>
      </c>
      <c r="O104" s="82">
        <f t="shared" si="16"/>
        <v>0</v>
      </c>
      <c r="P104" s="83">
        <f t="shared" si="19"/>
        <v>7.5279307512164931E-10</v>
      </c>
      <c r="Q104" s="71"/>
    </row>
    <row r="105" spans="1:17">
      <c r="A105" s="81">
        <f t="shared" si="17"/>
        <v>5</v>
      </c>
      <c r="B105" s="81">
        <f t="shared" si="18"/>
        <v>56</v>
      </c>
      <c r="C105" s="82">
        <f t="shared" si="13"/>
        <v>7.4830483747164056</v>
      </c>
      <c r="D105" s="83">
        <f t="shared" si="14"/>
        <v>0.48624064471518835</v>
      </c>
      <c r="E105" s="84">
        <f t="shared" si="21"/>
        <v>0.41319025812361576</v>
      </c>
      <c r="F105" s="84">
        <f t="shared" si="21"/>
        <v>0.34707178728566923</v>
      </c>
      <c r="G105" s="84">
        <f t="shared" si="21"/>
        <v>0.28811037001866602</v>
      </c>
      <c r="H105" s="84">
        <f t="shared" si="21"/>
        <v>0.23630701859644687</v>
      </c>
      <c r="I105" s="84">
        <f t="shared" si="21"/>
        <v>0.19146422824656684</v>
      </c>
      <c r="J105" s="84">
        <f t="shared" si="21"/>
        <v>0.153219442983626</v>
      </c>
      <c r="K105" s="84">
        <f t="shared" si="21"/>
        <v>0.12108308553068392</v>
      </c>
      <c r="L105" s="83">
        <f t="shared" si="15"/>
        <v>1</v>
      </c>
      <c r="M105" s="82">
        <f t="shared" si="8"/>
        <v>0.10512000000000001</v>
      </c>
      <c r="N105" s="83">
        <f t="shared" si="9"/>
        <v>0.78250280619710488</v>
      </c>
      <c r="O105" s="82">
        <f t="shared" si="16"/>
        <v>0</v>
      </c>
      <c r="P105" s="83">
        <f t="shared" si="19"/>
        <v>1.0648368865894479E-9</v>
      </c>
      <c r="Q105" s="71"/>
    </row>
    <row r="106" spans="1:17">
      <c r="A106" s="81">
        <f t="shared" si="17"/>
        <v>5</v>
      </c>
      <c r="B106" s="81">
        <f t="shared" si="18"/>
        <v>57</v>
      </c>
      <c r="C106" s="82">
        <f t="shared" si="13"/>
        <v>7.5495703836937533</v>
      </c>
      <c r="D106" s="83">
        <f t="shared" si="14"/>
        <v>0.49009032543812259</v>
      </c>
      <c r="E106" s="84">
        <f t="shared" si="21"/>
        <v>0.41731852174216022</v>
      </c>
      <c r="F106" s="84">
        <f t="shared" si="21"/>
        <v>0.35133702037193881</v>
      </c>
      <c r="G106" s="84">
        <f t="shared" si="21"/>
        <v>0.29237950167108995</v>
      </c>
      <c r="H106" s="84">
        <f t="shared" si="21"/>
        <v>0.24046195643161994</v>
      </c>
      <c r="I106" s="84">
        <f t="shared" si="21"/>
        <v>0.19540653567634902</v>
      </c>
      <c r="J106" s="84">
        <f t="shared" si="21"/>
        <v>0.1568730856057623</v>
      </c>
      <c r="K106" s="84">
        <f t="shared" si="21"/>
        <v>0.12439527954114649</v>
      </c>
      <c r="L106" s="83">
        <f t="shared" si="15"/>
        <v>1</v>
      </c>
      <c r="M106" s="82">
        <f t="shared" si="8"/>
        <v>0.10512000000000001</v>
      </c>
      <c r="N106" s="83">
        <f t="shared" si="9"/>
        <v>0.80290854157425906</v>
      </c>
      <c r="O106" s="82">
        <f t="shared" si="16"/>
        <v>0</v>
      </c>
      <c r="P106" s="83">
        <f t="shared" si="19"/>
        <v>1.4882228874159038E-9</v>
      </c>
      <c r="Q106" s="71"/>
    </row>
    <row r="107" spans="1:17">
      <c r="A107" s="81">
        <f t="shared" si="17"/>
        <v>5</v>
      </c>
      <c r="B107" s="81">
        <f t="shared" si="18"/>
        <v>58</v>
      </c>
      <c r="C107" s="82">
        <f t="shared" si="13"/>
        <v>7.615511340569709</v>
      </c>
      <c r="D107" s="83">
        <f t="shared" si="14"/>
        <v>0.49385570965082692</v>
      </c>
      <c r="E107" s="84">
        <f t="shared" si="21"/>
        <v>0.42136282547514603</v>
      </c>
      <c r="F107" s="84">
        <f t="shared" si="21"/>
        <v>0.35552324274657954</v>
      </c>
      <c r="G107" s="84">
        <f t="shared" si="21"/>
        <v>0.29657838375488099</v>
      </c>
      <c r="H107" s="84">
        <f t="shared" si="21"/>
        <v>0.2445581897438549</v>
      </c>
      <c r="I107" s="84">
        <f t="shared" si="21"/>
        <v>0.19930333535668976</v>
      </c>
      <c r="J107" s="84">
        <f t="shared" si="21"/>
        <v>0.16049495265062363</v>
      </c>
      <c r="K107" s="84">
        <f t="shared" si="21"/>
        <v>0.12768896752688974</v>
      </c>
      <c r="L107" s="83">
        <f t="shared" si="15"/>
        <v>1</v>
      </c>
      <c r="M107" s="82">
        <f t="shared" si="8"/>
        <v>0.10512000000000001</v>
      </c>
      <c r="N107" s="83">
        <f t="shared" si="9"/>
        <v>0.82180048473722855</v>
      </c>
      <c r="O107" s="82">
        <f t="shared" si="16"/>
        <v>0</v>
      </c>
      <c r="P107" s="83">
        <f t="shared" si="19"/>
        <v>2.0563605766754261E-9</v>
      </c>
      <c r="Q107" s="71"/>
    </row>
    <row r="108" spans="1:17">
      <c r="A108" s="81">
        <f t="shared" si="17"/>
        <v>5</v>
      </c>
      <c r="B108" s="81">
        <f t="shared" si="18"/>
        <v>59</v>
      </c>
      <c r="C108" s="82">
        <f t="shared" si="13"/>
        <v>7.6808862104802627</v>
      </c>
      <c r="D108" s="83">
        <f t="shared" si="14"/>
        <v>0.49753978867231741</v>
      </c>
      <c r="E108" s="84">
        <f t="shared" si="21"/>
        <v>0.42532589330963688</v>
      </c>
      <c r="F108" s="84">
        <f t="shared" si="21"/>
        <v>0.35963271218321324</v>
      </c>
      <c r="G108" s="84">
        <f t="shared" si="21"/>
        <v>0.3007086730355768</v>
      </c>
      <c r="H108" s="84">
        <f t="shared" si="21"/>
        <v>0.24859671141066153</v>
      </c>
      <c r="I108" s="84">
        <f t="shared" si="21"/>
        <v>0.20315496356338403</v>
      </c>
      <c r="J108" s="84">
        <f t="shared" si="21"/>
        <v>0.16408479128370557</v>
      </c>
      <c r="K108" s="84">
        <f t="shared" si="21"/>
        <v>0.13096341946052092</v>
      </c>
      <c r="L108" s="83">
        <f t="shared" si="15"/>
        <v>1</v>
      </c>
      <c r="M108" s="82">
        <f t="shared" si="8"/>
        <v>0.10512000000000001</v>
      </c>
      <c r="N108" s="83">
        <f t="shared" si="9"/>
        <v>0.83922929827817361</v>
      </c>
      <c r="O108" s="82">
        <f t="shared" si="16"/>
        <v>0</v>
      </c>
      <c r="P108" s="83">
        <f t="shared" si="19"/>
        <v>2.8107857145430315E-9</v>
      </c>
      <c r="Q108" s="71"/>
    </row>
    <row r="109" spans="1:17">
      <c r="A109" s="81">
        <f t="shared" si="17"/>
        <v>5</v>
      </c>
      <c r="B109" s="81">
        <f t="shared" si="18"/>
        <v>60</v>
      </c>
      <c r="C109" s="82">
        <f t="shared" si="13"/>
        <v>7.7457093269981314</v>
      </c>
      <c r="D109" s="83">
        <f t="shared" si="14"/>
        <v>0.50114540969612542</v>
      </c>
      <c r="E109" s="84">
        <f t="shared" ref="E109:K118" si="22">IF(D109&gt;0,0.5*EXP(-$C$12*$A109/$C$16)*(EXP(-$C$37*($C$13*$A109/$C$16/$C$36+$C$38*E$48))*2*NORMSDIST(-(($C$13*$A109/$C$16/$C$36+$C$38*E$48)/(2*$C109)-$C$37*$C109)*SQRT(2))+EXP($C$37*($C$13*$A109/$C$16/$C$36+$C$38*E$48))*2*NORMSDIST(-(($C$13*$A109/$C$16/$C$36+$C$38*E$48)/(2*$C109)+$C$37*$C109)*SQRT(2)))*$C$9,0)</f>
        <v>0.42921033213908899</v>
      </c>
      <c r="F109" s="84">
        <f t="shared" si="22"/>
        <v>0.36366760659554909</v>
      </c>
      <c r="G109" s="84">
        <f t="shared" si="22"/>
        <v>0.30477198834050179</v>
      </c>
      <c r="H109" s="84">
        <f t="shared" si="22"/>
        <v>0.25257851741642368</v>
      </c>
      <c r="I109" s="84">
        <f t="shared" si="22"/>
        <v>0.20696179505236878</v>
      </c>
      <c r="J109" s="84">
        <f t="shared" si="22"/>
        <v>0.16764241342830544</v>
      </c>
      <c r="K109" s="84">
        <f t="shared" si="22"/>
        <v>0.13421798550988306</v>
      </c>
      <c r="L109" s="83">
        <f t="shared" si="15"/>
        <v>1</v>
      </c>
      <c r="M109" s="82">
        <f t="shared" si="8"/>
        <v>0.10512000000000001</v>
      </c>
      <c r="N109" s="83">
        <f t="shared" si="9"/>
        <v>0.85525460540415832</v>
      </c>
      <c r="O109" s="82">
        <f t="shared" si="16"/>
        <v>0</v>
      </c>
      <c r="P109" s="83">
        <f t="shared" si="19"/>
        <v>3.8026598872583176E-9</v>
      </c>
      <c r="Q109" s="71"/>
    </row>
    <row r="110" spans="1:17">
      <c r="A110" s="81">
        <f t="shared" si="17"/>
        <v>5</v>
      </c>
      <c r="B110" s="81">
        <f t="shared" si="18"/>
        <v>61</v>
      </c>
      <c r="C110" s="82">
        <f t="shared" si="13"/>
        <v>7.8099944288293734</v>
      </c>
      <c r="D110" s="83">
        <f t="shared" si="14"/>
        <v>0.50467528441606047</v>
      </c>
      <c r="E110" s="84">
        <f t="shared" si="22"/>
        <v>0.43301863776095439</v>
      </c>
      <c r="F110" s="84">
        <f t="shared" si="22"/>
        <v>0.36763002684250523</v>
      </c>
      <c r="G110" s="84">
        <f t="shared" si="22"/>
        <v>0.30876991013009203</v>
      </c>
      <c r="H110" s="84">
        <f t="shared" si="22"/>
        <v>0.25650460362390359</v>
      </c>
      <c r="I110" s="84">
        <f t="shared" si="22"/>
        <v>0.21072423781679994</v>
      </c>
      <c r="J110" s="84">
        <f t="shared" si="22"/>
        <v>0.17116768947654193</v>
      </c>
      <c r="K110" s="84">
        <f t="shared" si="22"/>
        <v>0.13745208967774358</v>
      </c>
      <c r="L110" s="83">
        <f t="shared" si="15"/>
        <v>1</v>
      </c>
      <c r="M110" s="82">
        <f t="shared" si="8"/>
        <v>0.10512000000000001</v>
      </c>
      <c r="N110" s="83">
        <f t="shared" si="9"/>
        <v>0.86994276377265822</v>
      </c>
      <c r="O110" s="82">
        <f t="shared" si="16"/>
        <v>0</v>
      </c>
      <c r="P110" s="83">
        <f t="shared" si="19"/>
        <v>5.0944498320437985E-9</v>
      </c>
      <c r="Q110" s="71"/>
    </row>
    <row r="111" spans="1:17">
      <c r="A111" s="81">
        <f t="shared" si="17"/>
        <v>5</v>
      </c>
      <c r="B111" s="81">
        <f t="shared" si="18"/>
        <v>62</v>
      </c>
      <c r="C111" s="82">
        <f t="shared" si="13"/>
        <v>7.8737546938132281</v>
      </c>
      <c r="D111" s="83">
        <f t="shared" si="14"/>
        <v>0.508131997045979</v>
      </c>
      <c r="E111" s="84">
        <f t="shared" si="22"/>
        <v>0.43675320054180977</v>
      </c>
      <c r="F111" s="84">
        <f t="shared" si="22"/>
        <v>0.37152199950256981</v>
      </c>
      <c r="G111" s="84">
        <f t="shared" si="22"/>
        <v>0.31270398031389601</v>
      </c>
      <c r="H111" s="84">
        <f t="shared" si="22"/>
        <v>0.26037596299553756</v>
      </c>
      <c r="I111" s="84">
        <f t="shared" si="22"/>
        <v>0.21444272840260625</v>
      </c>
      <c r="J111" s="84">
        <f t="shared" si="22"/>
        <v>0.17466054256578212</v>
      </c>
      <c r="K111" s="84">
        <f t="shared" si="22"/>
        <v>0.1406652239257955</v>
      </c>
      <c r="L111" s="83">
        <f t="shared" si="15"/>
        <v>1</v>
      </c>
      <c r="M111" s="82">
        <f t="shared" si="8"/>
        <v>0.10512000000000001</v>
      </c>
      <c r="N111" s="83">
        <f t="shared" si="9"/>
        <v>0.8833648770202811</v>
      </c>
      <c r="O111" s="82">
        <f t="shared" si="16"/>
        <v>0</v>
      </c>
      <c r="P111" s="83">
        <f t="shared" si="19"/>
        <v>6.761792771728902E-9</v>
      </c>
      <c r="Q111" s="71"/>
    </row>
    <row r="112" spans="1:17">
      <c r="A112" s="81">
        <f t="shared" si="17"/>
        <v>5</v>
      </c>
      <c r="B112" s="81">
        <f t="shared" si="18"/>
        <v>63</v>
      </c>
      <c r="C112" s="82">
        <f t="shared" si="13"/>
        <v>7.9370027704635362</v>
      </c>
      <c r="D112" s="83">
        <f t="shared" si="14"/>
        <v>0.51151801178140355</v>
      </c>
      <c r="E112" s="84">
        <f t="shared" si="22"/>
        <v>0.44041631076686594</v>
      </c>
      <c r="F112" s="84">
        <f t="shared" si="22"/>
        <v>0.37534547960295317</v>
      </c>
      <c r="G112" s="84">
        <f t="shared" si="22"/>
        <v>0.31657570227133491</v>
      </c>
      <c r="H112" s="84">
        <f t="shared" si="22"/>
        <v>0.26419358320931563</v>
      </c>
      <c r="I112" s="84">
        <f t="shared" si="22"/>
        <v>0.21811772772389837</v>
      </c>
      <c r="J112" s="84">
        <f t="shared" si="22"/>
        <v>0.17812094336941486</v>
      </c>
      <c r="K112" s="84">
        <f t="shared" si="22"/>
        <v>0.14385694274741301</v>
      </c>
      <c r="L112" s="83">
        <f t="shared" si="15"/>
        <v>1</v>
      </c>
      <c r="M112" s="82">
        <f t="shared" si="8"/>
        <v>0.10512000000000001</v>
      </c>
      <c r="N112" s="83">
        <f t="shared" si="9"/>
        <v>0.89559504887567298</v>
      </c>
      <c r="O112" s="82">
        <f t="shared" si="16"/>
        <v>0</v>
      </c>
      <c r="P112" s="83">
        <f t="shared" si="19"/>
        <v>8.8955523157645292E-9</v>
      </c>
      <c r="Q112" s="71"/>
    </row>
    <row r="113" spans="1:17">
      <c r="A113" s="81">
        <f t="shared" si="17"/>
        <v>5</v>
      </c>
      <c r="B113" s="81">
        <f t="shared" si="18"/>
        <v>64</v>
      </c>
      <c r="C113" s="82">
        <f t="shared" ref="C113:C129" si="23">IF((B113-$C$13/$C$16*A113)&gt;0,SQRT(B113-$C$13/$C$16*A113),0)</f>
        <v>7.9997508072655519</v>
      </c>
      <c r="D113" s="83">
        <f t="shared" ref="D113:D129" si="24">IF(C113&gt;0,0.5*EXP(-$C$12*$A113/$C$16)*(EXP(-$C$13*$A113/$C$16*$C$37/$C$36)*2*NORMSDIST(-($C$13*$A113/$C$16/(2*$C$36*$C113)-$C$37*$C113)*SQRT(2))+EXP($C$13*$A113/$C$16*$C$37/$C$36)*2*NORMSDIST(-($C$13*$A113/$C$16/(2*$C$36*$C113)+$C$37*$C113)*SQRT(2)))*$C$9,0)</f>
        <v>0.51483567974678723</v>
      </c>
      <c r="E113" s="84">
        <f t="shared" si="22"/>
        <v>0.44401016369047053</v>
      </c>
      <c r="F113" s="84">
        <f t="shared" si="22"/>
        <v>0.37910235329234743</v>
      </c>
      <c r="G113" s="84">
        <f t="shared" si="22"/>
        <v>0.32038654104307485</v>
      </c>
      <c r="H113" s="84">
        <f t="shared" si="22"/>
        <v>0.26795844462082075</v>
      </c>
      <c r="I113" s="84">
        <f t="shared" si="22"/>
        <v>0.22174971732592419</v>
      </c>
      <c r="J113" s="84">
        <f t="shared" si="22"/>
        <v>0.18154890535551349</v>
      </c>
      <c r="K113" s="84">
        <f t="shared" si="22"/>
        <v>0.14702685815580541</v>
      </c>
      <c r="L113" s="83">
        <f t="shared" ref="L113:L129" si="25">$C$9*EXP($C$12*$A113/$C$16)*EXP(-$C$13*$A113/$C$16*$C$37/$C$36)</f>
        <v>1</v>
      </c>
      <c r="M113" s="82">
        <f t="shared" si="8"/>
        <v>0.10512000000000001</v>
      </c>
      <c r="N113" s="83">
        <f t="shared" si="9"/>
        <v>0.90670887647570697</v>
      </c>
      <c r="O113" s="82">
        <f t="shared" ref="O113:O129" si="26">SQRT(4*$C$12*$C$11)</f>
        <v>0</v>
      </c>
      <c r="P113" s="83">
        <f t="shared" si="19"/>
        <v>1.1604067664077095E-8</v>
      </c>
      <c r="Q113" s="71"/>
    </row>
    <row r="114" spans="1:17">
      <c r="A114" s="81">
        <f t="shared" ref="A114:A129" si="27">IF(ISBLANK($C$44),A113+$C$42,$C$44)</f>
        <v>5</v>
      </c>
      <c r="B114" s="81">
        <f t="shared" ref="B114:B129" si="28">IF(ISBLANK($C$43),B113+$C$41,$C$43)</f>
        <v>65</v>
      </c>
      <c r="C114" s="82">
        <f t="shared" si="23"/>
        <v>8.0620104799203673</v>
      </c>
      <c r="D114" s="83">
        <f t="shared" si="24"/>
        <v>0.51808724546847751</v>
      </c>
      <c r="E114" s="84">
        <f t="shared" si="22"/>
        <v>0.4475368643037938</v>
      </c>
      <c r="F114" s="84">
        <f t="shared" si="22"/>
        <v>0.38279444044881727</v>
      </c>
      <c r="G114" s="84">
        <f t="shared" si="22"/>
        <v>0.32413792366380401</v>
      </c>
      <c r="H114" s="84">
        <f t="shared" si="22"/>
        <v>0.27167151852894666</v>
      </c>
      <c r="I114" s="84">
        <f t="shared" si="22"/>
        <v>0.22533919604886954</v>
      </c>
      <c r="J114" s="84">
        <f t="shared" si="22"/>
        <v>0.18494448047115508</v>
      </c>
      <c r="K114" s="84">
        <f t="shared" si="22"/>
        <v>0.15017463505644901</v>
      </c>
      <c r="L114" s="83">
        <f t="shared" si="25"/>
        <v>1</v>
      </c>
      <c r="M114" s="82">
        <f t="shared" si="8"/>
        <v>0.10512000000000001</v>
      </c>
      <c r="N114" s="83">
        <f t="shared" si="9"/>
        <v>0.91678217325261946</v>
      </c>
      <c r="O114" s="82">
        <f t="shared" si="26"/>
        <v>0</v>
      </c>
      <c r="P114" s="83">
        <f t="shared" ref="P114:P129" si="29">$C$9/2*(EXP((-$O114)*$A114/(2*($C$11)))*2*NORMSDIST(-(($C$14*$A114-$O114*$B114)/(2*SQRT(($C$11)*$C$14*$B114)))*SQRT(2))+EXP(($O114)*$A114/(2*($C$11)))*2*NORMSDIST(-(($C$14*$A114+$O114*$B114)/(2*SQRT(($C$11)*$C$14*$B114)))*SQRT(2)))</f>
        <v>1.5015596937203073E-8</v>
      </c>
      <c r="Q114" s="71"/>
    </row>
    <row r="115" spans="1:17">
      <c r="A115" s="81">
        <f t="shared" si="27"/>
        <v>5</v>
      </c>
      <c r="B115" s="81">
        <f t="shared" si="28"/>
        <v>66</v>
      </c>
      <c r="C115" s="82">
        <f t="shared" si="23"/>
        <v>8.1237930167099801</v>
      </c>
      <c r="D115" s="83">
        <f t="shared" si="24"/>
        <v>0.5212748529100435</v>
      </c>
      <c r="E115" s="84">
        <f t="shared" si="22"/>
        <v>0.45099843183537258</v>
      </c>
      <c r="F115" s="84">
        <f t="shared" si="22"/>
        <v>0.38642349721654856</v>
      </c>
      <c r="G115" s="84">
        <f t="shared" si="22"/>
        <v>0.3278312396114349</v>
      </c>
      <c r="H115" s="84">
        <f t="shared" si="22"/>
        <v>0.27533376570799595</v>
      </c>
      <c r="I115" s="84">
        <f t="shared" si="22"/>
        <v>0.22888667705080445</v>
      </c>
      <c r="J115" s="84">
        <f t="shared" si="22"/>
        <v>0.18830775521401444</v>
      </c>
      <c r="K115" s="84">
        <f t="shared" si="22"/>
        <v>0.15329998697475222</v>
      </c>
      <c r="L115" s="83">
        <f t="shared" si="25"/>
        <v>1</v>
      </c>
      <c r="M115" s="82">
        <f t="shared" ref="M115:M129" si="30">IF($C$17&gt;0,$C$17*(1+4*$C$12*($C$18*$C$17+$C$11)/$C$17^2)^0.5,SQRT(4*$C$12*$C$11))</f>
        <v>0.10512000000000001</v>
      </c>
      <c r="N115" s="83">
        <f t="shared" ref="N115:N129" si="31">$C$9/2*(EXP(($C$17-$M115)*$A115/(2*($C$18*$C$17+$C$11)))*2*NORMSDIST(-(($C$14*$A115-$M115*$B115)/(2*SQRT(($C$18*$C$17+$C$11)*$C$14*$B115)))*SQRT(2))+EXP(($C$17+$M115)*$A115/(2*($C$18*$C$17+$C$11)))*2*NORMSDIST(-(($C$14*$A115+$M115*$B115)/(2*SQRT(($C$18*$C$17+$C$11)*$C$14*$B115)))*SQRT(2)))</f>
        <v>0.92588990726962961</v>
      </c>
      <c r="O115" s="82">
        <f t="shared" si="26"/>
        <v>0</v>
      </c>
      <c r="P115" s="83">
        <f t="shared" si="29"/>
        <v>1.9280953485643628E-8</v>
      </c>
      <c r="Q115" s="71"/>
    </row>
    <row r="116" spans="1:17">
      <c r="A116" s="81">
        <f t="shared" si="27"/>
        <v>5</v>
      </c>
      <c r="B116" s="81">
        <f t="shared" si="28"/>
        <v>67</v>
      </c>
      <c r="C116" s="82">
        <f t="shared" si="23"/>
        <v>8.185109222139058</v>
      </c>
      <c r="D116" s="83">
        <f t="shared" si="24"/>
        <v>0.52440055110354011</v>
      </c>
      <c r="E116" s="84">
        <f t="shared" si="22"/>
        <v>0.4543968039995927</v>
      </c>
      <c r="F116" s="84">
        <f t="shared" si="22"/>
        <v>0.38999121846699181</v>
      </c>
      <c r="G116" s="84">
        <f t="shared" si="22"/>
        <v>0.33146784135139029</v>
      </c>
      <c r="H116" s="84">
        <f t="shared" si="22"/>
        <v>0.27894613517337952</v>
      </c>
      <c r="I116" s="84">
        <f t="shared" si="22"/>
        <v>0.23239268515251066</v>
      </c>
      <c r="J116" s="84">
        <f t="shared" si="22"/>
        <v>0.19163884705634349</v>
      </c>
      <c r="K116" s="84">
        <f t="shared" si="22"/>
        <v>0.15640267211197045</v>
      </c>
      <c r="L116" s="83">
        <f t="shared" si="25"/>
        <v>1</v>
      </c>
      <c r="M116" s="82">
        <f t="shared" si="30"/>
        <v>0.10512000000000001</v>
      </c>
      <c r="N116" s="83">
        <f t="shared" si="31"/>
        <v>0.93410533788702432</v>
      </c>
      <c r="O116" s="82">
        <f t="shared" si="26"/>
        <v>0</v>
      </c>
      <c r="P116" s="83">
        <f t="shared" si="29"/>
        <v>2.4576332038502294E-8</v>
      </c>
      <c r="Q116" s="71"/>
    </row>
    <row r="117" spans="1:17">
      <c r="A117" s="81">
        <f t="shared" si="27"/>
        <v>5</v>
      </c>
      <c r="B117" s="81">
        <f t="shared" si="28"/>
        <v>68</v>
      </c>
      <c r="C117" s="82">
        <f t="shared" si="23"/>
        <v>8.245969498994393</v>
      </c>
      <c r="D117" s="83">
        <f t="shared" si="24"/>
        <v>0.52746629940745082</v>
      </c>
      <c r="E117" s="84">
        <f t="shared" si="22"/>
        <v>0.45773384100754511</v>
      </c>
      <c r="F117" s="84">
        <f t="shared" si="22"/>
        <v>0.39349924018142479</v>
      </c>
      <c r="G117" s="84">
        <f t="shared" si="22"/>
        <v>0.33504904495771815</v>
      </c>
      <c r="H117" s="84">
        <f t="shared" si="22"/>
        <v>0.28250956315212838</v>
      </c>
      <c r="I117" s="84">
        <f t="shared" si="22"/>
        <v>0.23585775447088908</v>
      </c>
      <c r="J117" s="84">
        <f t="shared" si="22"/>
        <v>0.19493790118966015</v>
      </c>
      <c r="K117" s="84">
        <f t="shared" si="22"/>
        <v>0.15948248970430079</v>
      </c>
      <c r="L117" s="83">
        <f t="shared" si="25"/>
        <v>1</v>
      </c>
      <c r="M117" s="82">
        <f t="shared" si="30"/>
        <v>0.10512000000000001</v>
      </c>
      <c r="N117" s="83">
        <f t="shared" si="31"/>
        <v>0.9414993318805257</v>
      </c>
      <c r="O117" s="82">
        <f t="shared" si="26"/>
        <v>0</v>
      </c>
      <c r="P117" s="83">
        <f t="shared" si="29"/>
        <v>3.1106319570311346E-8</v>
      </c>
      <c r="Q117" s="71"/>
    </row>
    <row r="118" spans="1:17">
      <c r="A118" s="81">
        <f t="shared" si="27"/>
        <v>5</v>
      </c>
      <c r="B118" s="81">
        <f t="shared" si="28"/>
        <v>69</v>
      </c>
      <c r="C118" s="82">
        <f t="shared" si="23"/>
        <v>8.3063838689495828</v>
      </c>
      <c r="D118" s="83">
        <f t="shared" si="24"/>
        <v>0.5304739724194949</v>
      </c>
      <c r="E118" s="84">
        <f t="shared" si="22"/>
        <v>0.46101132935402278</v>
      </c>
      <c r="F118" s="84">
        <f t="shared" si="22"/>
        <v>0.39694914175315188</v>
      </c>
      <c r="G118" s="84">
        <f t="shared" si="22"/>
        <v>0.33857613079547511</v>
      </c>
      <c r="H118" s="84">
        <f t="shared" si="22"/>
        <v>0.2860249722328656</v>
      </c>
      <c r="I118" s="84">
        <f t="shared" si="22"/>
        <v>0.23928242631116214</v>
      </c>
      <c r="J118" s="84">
        <f t="shared" si="22"/>
        <v>0.1982050875613528</v>
      </c>
      <c r="K118" s="84">
        <f t="shared" si="22"/>
        <v>0.16253927666192647</v>
      </c>
      <c r="L118" s="83">
        <f t="shared" si="25"/>
        <v>1</v>
      </c>
      <c r="M118" s="82">
        <f t="shared" si="30"/>
        <v>0.10512000000000001</v>
      </c>
      <c r="N118" s="83">
        <f t="shared" si="31"/>
        <v>0.94813983936732038</v>
      </c>
      <c r="O118" s="82">
        <f t="shared" si="26"/>
        <v>0</v>
      </c>
      <c r="P118" s="83">
        <f t="shared" si="29"/>
        <v>3.9107083827753165E-8</v>
      </c>
      <c r="Q118" s="71"/>
    </row>
    <row r="119" spans="1:17">
      <c r="A119" s="81">
        <f t="shared" si="27"/>
        <v>5</v>
      </c>
      <c r="B119" s="81">
        <f t="shared" si="28"/>
        <v>70</v>
      </c>
      <c r="C119" s="82">
        <f t="shared" si="23"/>
        <v>8.3663619918304892</v>
      </c>
      <c r="D119" s="83">
        <f t="shared" si="24"/>
        <v>0.5334253645701208</v>
      </c>
      <c r="E119" s="84">
        <f t="shared" ref="E119:K128" si="32">IF(D119&gt;0,0.5*EXP(-$C$12*$A119/$C$16)*(EXP(-$C$37*($C$13*$A119/$C$16/$C$36+$C$38*E$48))*2*NORMSDIST(-(($C$13*$A119/$C$16/$C$36+$C$38*E$48)/(2*$C119)-$C$37*$C119)*SQRT(2))+EXP($C$37*($C$13*$A119/$C$16/$C$36+$C$38*E$48))*2*NORMSDIST(-(($C$13*$A119/$C$16/$C$36+$C$38*E$48)/(2*$C119)+$C$37*$C119)*SQRT(2)))*$C$9,0)</f>
        <v>0.46423098539373719</v>
      </c>
      <c r="F119" s="84">
        <f t="shared" si="32"/>
        <v>0.40034244820853626</v>
      </c>
      <c r="G119" s="84">
        <f t="shared" si="32"/>
        <v>0.34205034425109337</v>
      </c>
      <c r="H119" s="84">
        <f t="shared" si="32"/>
        <v>0.28949327067296382</v>
      </c>
      <c r="I119" s="84">
        <f t="shared" si="32"/>
        <v>0.24266724729122835</v>
      </c>
      <c r="J119" s="84">
        <f t="shared" si="32"/>
        <v>0.20144059817706417</v>
      </c>
      <c r="K119" s="84">
        <f t="shared" si="32"/>
        <v>0.16557290446648887</v>
      </c>
      <c r="L119" s="83">
        <f t="shared" si="25"/>
        <v>1</v>
      </c>
      <c r="M119" s="82">
        <f t="shared" si="30"/>
        <v>0.10512000000000001</v>
      </c>
      <c r="N119" s="83">
        <f t="shared" si="31"/>
        <v>0.95409150990440394</v>
      </c>
      <c r="O119" s="82">
        <f t="shared" si="26"/>
        <v>0</v>
      </c>
      <c r="P119" s="83">
        <f t="shared" si="29"/>
        <v>4.8849730594499554E-8</v>
      </c>
      <c r="Q119" s="71"/>
    </row>
    <row r="120" spans="1:17">
      <c r="A120" s="81">
        <f t="shared" si="27"/>
        <v>5</v>
      </c>
      <c r="B120" s="81">
        <f t="shared" si="28"/>
        <v>71</v>
      </c>
      <c r="C120" s="82">
        <f t="shared" si="23"/>
        <v>8.4259131836463776</v>
      </c>
      <c r="D120" s="83">
        <f t="shared" si="24"/>
        <v>0.53632219442039375</v>
      </c>
      <c r="E120" s="84">
        <f t="shared" si="32"/>
        <v>0.46739445871916563</v>
      </c>
      <c r="F120" s="84">
        <f t="shared" si="32"/>
        <v>0.40368063234684826</v>
      </c>
      <c r="G120" s="84">
        <f t="shared" si="32"/>
        <v>0.34547289649942203</v>
      </c>
      <c r="H120" s="84">
        <f t="shared" si="32"/>
        <v>0.29291535184325079</v>
      </c>
      <c r="I120" s="84">
        <f t="shared" si="32"/>
        <v>0.2460127676743149</v>
      </c>
      <c r="J120" s="84">
        <f t="shared" si="32"/>
        <v>0.20464464464509069</v>
      </c>
      <c r="K120" s="84">
        <f t="shared" si="32"/>
        <v>0.16858327630709002</v>
      </c>
      <c r="L120" s="83">
        <f t="shared" si="25"/>
        <v>1</v>
      </c>
      <c r="M120" s="82">
        <f t="shared" si="30"/>
        <v>0.10512000000000001</v>
      </c>
      <c r="N120" s="83">
        <f t="shared" si="31"/>
        <v>0.95941542971773486</v>
      </c>
      <c r="O120" s="82">
        <f t="shared" si="26"/>
        <v>0</v>
      </c>
      <c r="P120" s="83">
        <f t="shared" si="29"/>
        <v>6.0643819009407799E-8</v>
      </c>
      <c r="Q120" s="71"/>
    </row>
    <row r="121" spans="1:17">
      <c r="A121" s="81">
        <f t="shared" si="27"/>
        <v>5</v>
      </c>
      <c r="B121" s="81">
        <f t="shared" si="28"/>
        <v>72</v>
      </c>
      <c r="C121" s="82">
        <f t="shared" si="23"/>
        <v>8.4850464334820135</v>
      </c>
      <c r="D121" s="83">
        <f t="shared" si="24"/>
        <v>0.53916610868602088</v>
      </c>
      <c r="E121" s="84">
        <f t="shared" si="32"/>
        <v>0.47050333535175071</v>
      </c>
      <c r="F121" s="84">
        <f t="shared" si="32"/>
        <v>0.40696511679953185</v>
      </c>
      <c r="G121" s="84">
        <f t="shared" si="32"/>
        <v>0.34884496529782494</v>
      </c>
      <c r="H121" s="84">
        <f t="shared" si="32"/>
        <v>0.29629209379299004</v>
      </c>
      <c r="I121" s="84">
        <f t="shared" si="32"/>
        <v>0.24931953988857103</v>
      </c>
      <c r="J121" s="84">
        <f t="shared" si="32"/>
        <v>0.20781745594123224</v>
      </c>
      <c r="K121" s="84">
        <f t="shared" si="32"/>
        <v>0.17157032443642484</v>
      </c>
      <c r="L121" s="83">
        <f t="shared" si="25"/>
        <v>1</v>
      </c>
      <c r="M121" s="82">
        <f t="shared" si="30"/>
        <v>0.10512000000000001</v>
      </c>
      <c r="N121" s="83">
        <f t="shared" si="31"/>
        <v>0.96416896203547164</v>
      </c>
      <c r="O121" s="82">
        <f t="shared" si="26"/>
        <v>0</v>
      </c>
      <c r="P121" s="83">
        <f t="shared" si="29"/>
        <v>7.4841022614203828E-8</v>
      </c>
      <c r="Q121" s="71"/>
    </row>
    <row r="122" spans="1:17">
      <c r="A122" s="81">
        <f t="shared" si="27"/>
        <v>5</v>
      </c>
      <c r="B122" s="81">
        <f t="shared" si="28"/>
        <v>73</v>
      </c>
      <c r="C122" s="82">
        <f t="shared" si="23"/>
        <v>8.5437704193374628</v>
      </c>
      <c r="D122" s="83">
        <f t="shared" si="24"/>
        <v>0.54195868600749697</v>
      </c>
      <c r="E122" s="84">
        <f t="shared" si="32"/>
        <v>0.47355914075753547</v>
      </c>
      <c r="F122" s="84">
        <f t="shared" si="32"/>
        <v>0.410197276010001</v>
      </c>
      <c r="G122" s="84">
        <f t="shared" si="32"/>
        <v>0.35216769579917573</v>
      </c>
      <c r="H122" s="84">
        <f t="shared" si="32"/>
        <v>0.29962435891990435</v>
      </c>
      <c r="I122" s="84">
        <f t="shared" si="32"/>
        <v>0.25258811721446506</v>
      </c>
      <c r="J122" s="84">
        <f t="shared" si="32"/>
        <v>0.21095927637447298</v>
      </c>
      <c r="K122" s="84">
        <f t="shared" si="32"/>
        <v>0.17453400773005878</v>
      </c>
      <c r="L122" s="83">
        <f t="shared" si="25"/>
        <v>1</v>
      </c>
      <c r="M122" s="82">
        <f t="shared" si="30"/>
        <v>0.10512000000000001</v>
      </c>
      <c r="N122" s="83">
        <f t="shared" si="31"/>
        <v>0.96840567379769149</v>
      </c>
      <c r="O122" s="82">
        <f t="shared" si="26"/>
        <v>0</v>
      </c>
      <c r="P122" s="83">
        <f t="shared" si="29"/>
        <v>9.1838922311388874E-8</v>
      </c>
      <c r="Q122" s="71"/>
    </row>
    <row r="123" spans="1:17">
      <c r="A123" s="81">
        <f t="shared" si="27"/>
        <v>5</v>
      </c>
      <c r="B123" s="81">
        <f t="shared" si="28"/>
        <v>74</v>
      </c>
      <c r="C123" s="82">
        <f t="shared" si="23"/>
        <v>8.6020935229946112</v>
      </c>
      <c r="D123" s="83">
        <f t="shared" si="24"/>
        <v>0.54470144048472235</v>
      </c>
      <c r="E123" s="84">
        <f t="shared" si="32"/>
        <v>0.47656334269767031</v>
      </c>
      <c r="F123" s="84">
        <f t="shared" si="32"/>
        <v>0.41337843813544506</v>
      </c>
      <c r="G123" s="84">
        <f t="shared" si="32"/>
        <v>0.35544220137683324</v>
      </c>
      <c r="H123" s="84">
        <f t="shared" si="32"/>
        <v>0.30291299373182667</v>
      </c>
      <c r="I123" s="84">
        <f t="shared" si="32"/>
        <v>0.25581905262282945</v>
      </c>
      <c r="J123" s="84">
        <f t="shared" si="32"/>
        <v>0.21407036373568222</v>
      </c>
      <c r="K123" s="84">
        <f t="shared" si="32"/>
        <v>0.17747430943315945</v>
      </c>
      <c r="L123" s="83">
        <f t="shared" si="25"/>
        <v>1</v>
      </c>
      <c r="M123" s="82">
        <f t="shared" si="30"/>
        <v>0.10512000000000001</v>
      </c>
      <c r="N123" s="83">
        <f t="shared" si="31"/>
        <v>0.97217533348693186</v>
      </c>
      <c r="O123" s="82">
        <f t="shared" si="26"/>
        <v>0</v>
      </c>
      <c r="P123" s="83">
        <f t="shared" si="29"/>
        <v>1.1208491607748259E-7</v>
      </c>
      <c r="Q123" s="71"/>
    </row>
    <row r="124" spans="1:17">
      <c r="A124" s="81">
        <f t="shared" si="27"/>
        <v>5</v>
      </c>
      <c r="B124" s="81">
        <f t="shared" si="28"/>
        <v>75</v>
      </c>
      <c r="C124" s="82">
        <f t="shared" si="23"/>
        <v>8.6600238439825237</v>
      </c>
      <c r="D124" s="83">
        <f t="shared" si="24"/>
        <v>0.54739582499297579</v>
      </c>
      <c r="E124" s="84">
        <f t="shared" si="32"/>
        <v>0.47951735392362238</v>
      </c>
      <c r="F124" s="84">
        <f t="shared" si="32"/>
        <v>0.41650988687244928</v>
      </c>
      <c r="G124" s="84">
        <f t="shared" si="32"/>
        <v>0.35866956445577625</v>
      </c>
      <c r="H124" s="84">
        <f t="shared" si="32"/>
        <v>0.30615882868814581</v>
      </c>
      <c r="I124" s="84">
        <f t="shared" si="32"/>
        <v>0.2590128977481696</v>
      </c>
      <c r="J124" s="84">
        <f t="shared" si="32"/>
        <v>0.21715098761313811</v>
      </c>
      <c r="K124" s="84">
        <f t="shared" si="32"/>
        <v>0.18039123508021815</v>
      </c>
      <c r="L124" s="83">
        <f t="shared" si="25"/>
        <v>1</v>
      </c>
      <c r="M124" s="82">
        <f t="shared" si="30"/>
        <v>0.10512000000000001</v>
      </c>
      <c r="N124" s="83">
        <f t="shared" si="31"/>
        <v>0.97552396637987748</v>
      </c>
      <c r="O124" s="82">
        <f t="shared" si="26"/>
        <v>0</v>
      </c>
      <c r="P124" s="83">
        <f t="shared" si="29"/>
        <v>1.3608022911320936E-7</v>
      </c>
      <c r="Q124" s="71"/>
    </row>
    <row r="125" spans="1:17">
      <c r="A125" s="81">
        <f t="shared" si="27"/>
        <v>5</v>
      </c>
      <c r="B125" s="81">
        <f t="shared" si="28"/>
        <v>76</v>
      </c>
      <c r="C125" s="82">
        <f t="shared" si="23"/>
        <v>8.7175692127075113</v>
      </c>
      <c r="D125" s="83">
        <f t="shared" si="24"/>
        <v>0.55004323429577529</v>
      </c>
      <c r="E125" s="84">
        <f t="shared" si="32"/>
        <v>0.48242253472633845</v>
      </c>
      <c r="F125" s="84">
        <f t="shared" si="32"/>
        <v>0.41959286320843137</v>
      </c>
      <c r="G125" s="84">
        <f t="shared" si="32"/>
        <v>0.36185083734497381</v>
      </c>
      <c r="H125" s="84">
        <f t="shared" si="32"/>
        <v>0.3093626781106229</v>
      </c>
      <c r="I125" s="84">
        <f t="shared" si="32"/>
        <v>0.2621702019834351</v>
      </c>
      <c r="J125" s="84">
        <f t="shared" si="32"/>
        <v>0.22020142786014163</v>
      </c>
      <c r="K125" s="84">
        <f t="shared" si="32"/>
        <v>0.18328481057440804</v>
      </c>
      <c r="L125" s="83">
        <f t="shared" si="25"/>
        <v>1</v>
      </c>
      <c r="M125" s="82">
        <f t="shared" si="30"/>
        <v>0.10512000000000001</v>
      </c>
      <c r="N125" s="83">
        <f t="shared" si="31"/>
        <v>0.97849395509184234</v>
      </c>
      <c r="O125" s="82">
        <f t="shared" si="26"/>
        <v>0</v>
      </c>
      <c r="P125" s="83">
        <f t="shared" si="29"/>
        <v>1.6438400712956729E-7</v>
      </c>
      <c r="Q125" s="71"/>
    </row>
    <row r="126" spans="1:17">
      <c r="A126" s="81">
        <f t="shared" si="27"/>
        <v>5</v>
      </c>
      <c r="B126" s="81">
        <f t="shared" si="28"/>
        <v>77</v>
      </c>
      <c r="C126" s="82">
        <f t="shared" si="23"/>
        <v>8.7747372028081756</v>
      </c>
      <c r="D126" s="83">
        <f t="shared" si="24"/>
        <v>0.55264500796892602</v>
      </c>
      <c r="E126" s="84">
        <f t="shared" si="32"/>
        <v>0.48528019534804212</v>
      </c>
      <c r="F126" s="84">
        <f t="shared" si="32"/>
        <v>0.4226285671010841</v>
      </c>
      <c r="G126" s="84">
        <f t="shared" si="32"/>
        <v>0.36498704306689889</v>
      </c>
      <c r="H126" s="84">
        <f t="shared" si="32"/>
        <v>0.31252534015437594</v>
      </c>
      <c r="I126" s="84">
        <f t="shared" si="32"/>
        <v>0.26529151168386078</v>
      </c>
      <c r="J126" s="84">
        <f t="shared" si="32"/>
        <v>0.22322197320133674</v>
      </c>
      <c r="K126" s="84">
        <f t="shared" si="32"/>
        <v>0.18615508041427065</v>
      </c>
      <c r="L126" s="83">
        <f t="shared" si="25"/>
        <v>1</v>
      </c>
      <c r="M126" s="82">
        <f t="shared" si="30"/>
        <v>0.10512000000000001</v>
      </c>
      <c r="N126" s="83">
        <f t="shared" si="31"/>
        <v>0.98112417482079783</v>
      </c>
      <c r="O126" s="82">
        <f t="shared" si="26"/>
        <v>0</v>
      </c>
      <c r="P126" s="83">
        <f t="shared" si="29"/>
        <v>1.9761747467210279E-7</v>
      </c>
      <c r="Q126" s="71"/>
    </row>
    <row r="127" spans="1:17">
      <c r="A127" s="81">
        <f t="shared" si="27"/>
        <v>5</v>
      </c>
      <c r="B127" s="81">
        <f t="shared" si="28"/>
        <v>78</v>
      </c>
      <c r="C127" s="82">
        <f t="shared" si="23"/>
        <v>8.8315351427906261</v>
      </c>
      <c r="D127" s="83">
        <f t="shared" si="24"/>
        <v>0.55520243314893092</v>
      </c>
      <c r="E127" s="84">
        <f t="shared" si="32"/>
        <v>0.4880915982648335</v>
      </c>
      <c r="F127" s="84">
        <f t="shared" si="32"/>
        <v>0.42561815908811518</v>
      </c>
      <c r="G127" s="84">
        <f t="shared" si="32"/>
        <v>0.36807917618074026</v>
      </c>
      <c r="H127" s="84">
        <f t="shared" si="32"/>
        <v>0.31564759683092358</v>
      </c>
      <c r="I127" s="84">
        <f t="shared" si="32"/>
        <v>0.26837736946874902</v>
      </c>
      <c r="J127" s="84">
        <f t="shared" si="32"/>
        <v>0.22621291996554427</v>
      </c>
      <c r="K127" s="84">
        <f t="shared" si="32"/>
        <v>0.18900210605639445</v>
      </c>
      <c r="L127" s="83">
        <f t="shared" si="25"/>
        <v>1</v>
      </c>
      <c r="M127" s="82">
        <f t="shared" si="30"/>
        <v>0.10512000000000001</v>
      </c>
      <c r="N127" s="83">
        <f t="shared" si="31"/>
        <v>0.98345015415959469</v>
      </c>
      <c r="O127" s="82">
        <f t="shared" si="26"/>
        <v>0</v>
      </c>
      <c r="P127" s="83">
        <f t="shared" si="29"/>
        <v>2.3646813977701567E-7</v>
      </c>
      <c r="Q127" s="71"/>
    </row>
    <row r="128" spans="1:17">
      <c r="A128" s="81">
        <f t="shared" si="27"/>
        <v>5</v>
      </c>
      <c r="B128" s="81">
        <f t="shared" si="28"/>
        <v>79</v>
      </c>
      <c r="C128" s="82">
        <f t="shared" si="23"/>
        <v>8.8879701269944551</v>
      </c>
      <c r="D128" s="83">
        <f t="shared" si="24"/>
        <v>0.55771674711791119</v>
      </c>
      <c r="E128" s="84">
        <f t="shared" si="32"/>
        <v>0.49085796034774987</v>
      </c>
      <c r="F128" s="84">
        <f t="shared" si="32"/>
        <v>0.42856276182965236</v>
      </c>
      <c r="G128" s="84">
        <f t="shared" si="32"/>
        <v>0.37112820359649579</v>
      </c>
      <c r="H128" s="84">
        <f t="shared" si="32"/>
        <v>0.31873021407613544</v>
      </c>
      <c r="I128" s="84">
        <f t="shared" si="32"/>
        <v>0.27142831361120234</v>
      </c>
      <c r="J128" s="84">
        <f t="shared" si="32"/>
        <v>0.22917457093403293</v>
      </c>
      <c r="K128" s="84">
        <f t="shared" si="32"/>
        <v>0.19182596440360666</v>
      </c>
      <c r="L128" s="83">
        <f t="shared" si="25"/>
        <v>1</v>
      </c>
      <c r="M128" s="82">
        <f t="shared" si="30"/>
        <v>0.10512000000000001</v>
      </c>
      <c r="N128" s="83">
        <f t="shared" si="31"/>
        <v>0.98550425370857675</v>
      </c>
      <c r="O128" s="82">
        <f t="shared" si="26"/>
        <v>0</v>
      </c>
      <c r="P128" s="83">
        <f t="shared" si="29"/>
        <v>2.8169402583105131E-7</v>
      </c>
      <c r="Q128" s="71"/>
    </row>
    <row r="129" spans="1:17">
      <c r="A129" s="81">
        <f t="shared" si="27"/>
        <v>5</v>
      </c>
      <c r="B129" s="81">
        <f t="shared" si="28"/>
        <v>80</v>
      </c>
      <c r="C129" s="82">
        <f t="shared" si="23"/>
        <v>8.9440490259359517</v>
      </c>
      <c r="D129" s="83">
        <f t="shared" si="24"/>
        <v>0.56018913973624285</v>
      </c>
      <c r="E129" s="84">
        <f t="shared" ref="E129:K129" si="33">IF(D129&gt;0,0.5*EXP(-$C$12*$A129/$C$16)*(EXP(-$C$37*($C$13*$A129/$C$16/$C$36+$C$38*E$48))*2*NORMSDIST(-(($C$13*$A129/$C$16/$C$36+$C$38*E$48)/(2*$C129)-$C$37*$C129)*SQRT(2))+EXP($C$37*($C$13*$A129/$C$16/$C$36+$C$38*E$48))*2*NORMSDIST(-(($C$13*$A129/$C$16/$C$36+$C$38*E$48)/(2*$C129)+$C$37*$C129)*SQRT(2)))*$C$9,0)</f>
        <v>0.49358045490947178</v>
      </c>
      <c r="F129" s="84">
        <f t="shared" si="33"/>
        <v>0.43146346158572557</v>
      </c>
      <c r="G129" s="84">
        <f t="shared" si="33"/>
        <v>0.37413506537759544</v>
      </c>
      <c r="H129" s="84">
        <f t="shared" si="33"/>
        <v>0.32177394185678088</v>
      </c>
      <c r="I129" s="84">
        <f t="shared" si="33"/>
        <v>0.27444487750681135</v>
      </c>
      <c r="J129" s="84">
        <f t="shared" si="33"/>
        <v>0.23210723429412505</v>
      </c>
      <c r="K129" s="84">
        <f t="shared" si="33"/>
        <v>0.19462674640905675</v>
      </c>
      <c r="L129" s="83">
        <f t="shared" si="25"/>
        <v>1</v>
      </c>
      <c r="M129" s="82">
        <f t="shared" si="30"/>
        <v>0.10512000000000001</v>
      </c>
      <c r="N129" s="83">
        <f t="shared" si="31"/>
        <v>0.98731585597056981</v>
      </c>
      <c r="O129" s="82">
        <f t="shared" si="26"/>
        <v>0</v>
      </c>
      <c r="P129" s="83">
        <f t="shared" si="29"/>
        <v>3.3412791126850133E-7</v>
      </c>
      <c r="Q129" s="71"/>
    </row>
  </sheetData>
  <mergeCells count="10">
    <mergeCell ref="E5:O5"/>
    <mergeCell ref="Q5:AA5"/>
    <mergeCell ref="R7:W7"/>
    <mergeCell ref="X7:AC7"/>
    <mergeCell ref="E47:K47"/>
    <mergeCell ref="K7:P7"/>
    <mergeCell ref="E7:J7"/>
    <mergeCell ref="D46:L46"/>
    <mergeCell ref="D30:D31"/>
    <mergeCell ref="D32:D33"/>
  </mergeCells>
  <phoneticPr fontId="7" type="noConversion"/>
  <conditionalFormatting sqref="C4">
    <cfRule type="expression" dxfId="62" priority="21">
      <formula>$C$3="no"</formula>
    </cfRule>
  </conditionalFormatting>
  <conditionalFormatting sqref="C15:C16">
    <cfRule type="expression" dxfId="61" priority="94">
      <formula>$C$3="yes"</formula>
    </cfRule>
  </conditionalFormatting>
  <conditionalFormatting sqref="C22:C26">
    <cfRule type="expression" dxfId="60" priority="98">
      <formula>$C$3="yes"</formula>
    </cfRule>
  </conditionalFormatting>
  <conditionalFormatting sqref="C17">
    <cfRule type="expression" dxfId="59" priority="99">
      <formula>$C$4="yes"</formula>
    </cfRule>
  </conditionalFormatting>
  <conditionalFormatting sqref="C18">
    <cfRule type="expression" dxfId="58" priority="101">
      <formula>$C$4="yes"</formula>
    </cfRule>
  </conditionalFormatting>
  <conditionalFormatting sqref="C24:C26">
    <cfRule type="expression" dxfId="57" priority="103">
      <formula>$C$4="yes"</formula>
    </cfRule>
  </conditionalFormatting>
  <conditionalFormatting sqref="C13 C29">
    <cfRule type="expression" dxfId="56" priority="15">
      <formula>$C$3="yes"</formula>
    </cfRule>
  </conditionalFormatting>
  <conditionalFormatting sqref="C30">
    <cfRule type="expression" dxfId="55" priority="111">
      <formula>$C$3="no"</formula>
    </cfRule>
    <cfRule type="expression" dxfId="54" priority="112">
      <formula>$E$31</formula>
    </cfRule>
  </conditionalFormatting>
  <conditionalFormatting sqref="C31">
    <cfRule type="expression" dxfId="53" priority="118">
      <formula>$C$4="no"</formula>
    </cfRule>
    <cfRule type="expression" dxfId="52" priority="119" stopIfTrue="1">
      <formula>$C$4="yes"</formula>
    </cfRule>
    <cfRule type="expression" dxfId="51" priority="120">
      <formula>$E$30</formula>
    </cfRule>
  </conditionalFormatting>
  <conditionalFormatting sqref="C33">
    <cfRule type="expression" dxfId="50" priority="129">
      <formula>$C$4="no"</formula>
    </cfRule>
    <cfRule type="expression" dxfId="49" priority="130">
      <formula>$E$32</formula>
    </cfRule>
  </conditionalFormatting>
  <conditionalFormatting sqref="C32">
    <cfRule type="expression" dxfId="48" priority="131">
      <formula>$C$4="no"</formula>
    </cfRule>
    <cfRule type="expression" dxfId="47" priority="132">
      <formula>$E$33</formula>
    </cfRule>
  </conditionalFormatting>
  <conditionalFormatting sqref="C44 C41">
    <cfRule type="expression" dxfId="46" priority="141">
      <formula>$E$43</formula>
    </cfRule>
  </conditionalFormatting>
  <conditionalFormatting sqref="C42:C43">
    <cfRule type="expression" dxfId="45" priority="143">
      <formula>$E$44</formula>
    </cfRule>
  </conditionalFormatting>
  <conditionalFormatting sqref="D30:D31">
    <cfRule type="expression" dxfId="44" priority="2">
      <formula>$C$3="yes"</formula>
    </cfRule>
  </conditionalFormatting>
  <conditionalFormatting sqref="D32:D33">
    <cfRule type="expression" dxfId="43" priority="1">
      <formula>$C$4="no"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B322"/>
  <sheetViews>
    <sheetView tabSelected="1" zoomScale="68" zoomScaleNormal="68" workbookViewId="0">
      <selection activeCell="K33" sqref="K33"/>
    </sheetView>
  </sheetViews>
  <sheetFormatPr defaultColWidth="9.109375" defaultRowHeight="13.2"/>
  <cols>
    <col min="1" max="1" width="28.109375" style="33" bestFit="1" customWidth="1"/>
    <col min="2" max="2" width="15.6640625" style="33" customWidth="1"/>
    <col min="3" max="3" width="11.88671875" style="33" customWidth="1"/>
    <col min="4" max="4" width="18.5546875" style="33" customWidth="1"/>
    <col min="5" max="5" width="9.109375" style="33"/>
    <col min="6" max="6" width="12.44140625" style="33" bestFit="1" customWidth="1"/>
    <col min="7" max="11" width="9.109375" style="33"/>
    <col min="12" max="12" width="14.88671875" style="33" bestFit="1" customWidth="1"/>
    <col min="13" max="13" width="17" style="33" bestFit="1" customWidth="1"/>
    <col min="14" max="14" width="17.109375" style="33" bestFit="1" customWidth="1"/>
    <col min="15" max="15" width="12.5546875" style="33" bestFit="1" customWidth="1"/>
    <col min="16" max="17" width="12.109375" style="33" customWidth="1"/>
    <col min="18" max="21" width="9.109375" style="33"/>
    <col min="22" max="22" width="17.109375" style="33" customWidth="1"/>
    <col min="23" max="16384" width="9.109375" style="33"/>
  </cols>
  <sheetData>
    <row r="1" spans="1:28" ht="17.399999999999999">
      <c r="A1" s="93" t="s">
        <v>50</v>
      </c>
      <c r="B1" s="32"/>
      <c r="C1" s="32"/>
      <c r="D1" s="32"/>
    </row>
    <row r="2" spans="1:28" ht="17.399999999999999">
      <c r="A2" s="34" t="s">
        <v>77</v>
      </c>
      <c r="B2" s="35"/>
      <c r="C2" s="35"/>
      <c r="D2" s="32"/>
    </row>
    <row r="3" spans="1:28" ht="17.399999999999999">
      <c r="A3" s="94" t="s">
        <v>70</v>
      </c>
      <c r="B3" s="36"/>
      <c r="C3" s="37" t="s">
        <v>66</v>
      </c>
      <c r="D3" s="32"/>
    </row>
    <row r="4" spans="1:28" ht="17.399999999999999">
      <c r="A4" s="94" t="str">
        <f>IF(C3="yes","","Advection in low-permeability media (yes/no)")</f>
        <v/>
      </c>
      <c r="B4" s="36"/>
      <c r="C4" s="38"/>
      <c r="D4" s="32"/>
    </row>
    <row r="5" spans="1:28" ht="17.399999999999999">
      <c r="A5" s="32"/>
      <c r="B5" s="32"/>
      <c r="C5" s="32"/>
      <c r="D5" s="32"/>
      <c r="E5" s="112" t="s">
        <v>62</v>
      </c>
      <c r="F5" s="112"/>
      <c r="G5" s="112"/>
      <c r="H5" s="112"/>
      <c r="I5" s="112"/>
      <c r="J5" s="112"/>
      <c r="K5" s="112"/>
      <c r="L5" s="112"/>
      <c r="M5" s="112"/>
      <c r="N5" s="112"/>
      <c r="P5" s="112" t="s">
        <v>63</v>
      </c>
      <c r="Q5" s="112"/>
      <c r="R5" s="112"/>
      <c r="S5" s="112"/>
      <c r="T5" s="112"/>
      <c r="U5" s="112"/>
      <c r="V5" s="112"/>
      <c r="W5" s="112"/>
      <c r="X5" s="112"/>
      <c r="Y5" s="112"/>
      <c r="Z5" s="112"/>
    </row>
    <row r="6" spans="1:28" ht="17.399999999999999">
      <c r="A6" s="32"/>
      <c r="B6" s="32"/>
      <c r="C6" s="32"/>
      <c r="D6" s="32"/>
    </row>
    <row r="7" spans="1:28">
      <c r="E7" s="111" t="str">
        <f>CONCATENATE("Concentration in low-permeability media at depth ",$C$44," meters")</f>
        <v>Concentration in low-permeability media at depth 5 meters</v>
      </c>
      <c r="F7" s="111"/>
      <c r="G7" s="111"/>
      <c r="H7" s="111"/>
      <c r="I7" s="111"/>
      <c r="J7" s="111"/>
      <c r="K7" s="111" t="str">
        <f>CONCATENATE("Concentration in low-permeability media at time ",$B$51," years")</f>
        <v>Concentration in low-permeability media at time 0 years</v>
      </c>
      <c r="L7" s="111"/>
      <c r="M7" s="111"/>
      <c r="N7" s="111"/>
      <c r="P7" s="111" t="str">
        <f>CONCATENATE("Concentration in low-permeability media at depth ",$C$44," meters")</f>
        <v>Concentration in low-permeability media at depth 5 meters</v>
      </c>
      <c r="Q7" s="111"/>
      <c r="R7" s="111"/>
      <c r="S7" s="111"/>
      <c r="T7" s="111"/>
      <c r="U7" s="111"/>
      <c r="V7" s="111" t="str">
        <f>CONCATENATE("Concentration in low-permeability media at time ",$B$51," years")</f>
        <v>Concentration in low-permeability media at time 0 years</v>
      </c>
      <c r="W7" s="111"/>
      <c r="X7" s="111"/>
      <c r="Y7" s="111"/>
      <c r="Z7" s="111"/>
      <c r="AA7" s="39"/>
      <c r="AB7" s="39"/>
    </row>
    <row r="8" spans="1:28" s="41" customFormat="1" ht="15.75" customHeight="1">
      <c r="A8" s="34" t="s">
        <v>4</v>
      </c>
      <c r="B8" s="35"/>
      <c r="C8" s="35"/>
      <c r="D8" s="40"/>
    </row>
    <row r="9" spans="1:28" s="41" customFormat="1" ht="15.75" customHeight="1">
      <c r="A9" s="36" t="s">
        <v>31</v>
      </c>
      <c r="B9" s="42" t="s">
        <v>44</v>
      </c>
      <c r="C9" s="43">
        <v>1</v>
      </c>
      <c r="D9" s="40"/>
    </row>
    <row r="10" spans="1:28" s="41" customFormat="1" ht="15.75" customHeight="1">
      <c r="A10" s="36" t="s">
        <v>16</v>
      </c>
      <c r="B10" s="44" t="s">
        <v>3</v>
      </c>
      <c r="C10" s="43">
        <v>0.3</v>
      </c>
      <c r="D10" s="40"/>
    </row>
    <row r="11" spans="1:28" s="41" customFormat="1" ht="15.75" customHeight="1">
      <c r="A11" s="36" t="s">
        <v>17</v>
      </c>
      <c r="B11" s="42" t="s">
        <v>43</v>
      </c>
      <c r="C11" s="43">
        <v>6.0000000000000001E-3</v>
      </c>
      <c r="D11" s="40"/>
    </row>
    <row r="12" spans="1:28" s="41" customFormat="1" ht="15.75" customHeight="1">
      <c r="A12" s="36" t="s">
        <v>18</v>
      </c>
      <c r="B12" s="44" t="s">
        <v>39</v>
      </c>
      <c r="C12" s="43">
        <v>0</v>
      </c>
      <c r="D12" s="40"/>
    </row>
    <row r="13" spans="1:28" s="41" customFormat="1" ht="15.75" customHeight="1">
      <c r="A13" s="36" t="s">
        <v>19</v>
      </c>
      <c r="B13" s="42" t="s">
        <v>41</v>
      </c>
      <c r="C13" s="45">
        <v>1</v>
      </c>
      <c r="D13" s="40"/>
    </row>
    <row r="14" spans="1:28" s="41" customFormat="1" ht="15.75" customHeight="1">
      <c r="A14" s="36" t="s">
        <v>0</v>
      </c>
      <c r="B14" s="42" t="s">
        <v>40</v>
      </c>
      <c r="C14" s="43">
        <v>1</v>
      </c>
      <c r="D14" s="40"/>
    </row>
    <row r="15" spans="1:28" s="41" customFormat="1" ht="15.75" customHeight="1">
      <c r="A15" s="36" t="s">
        <v>14</v>
      </c>
      <c r="B15" s="42" t="s">
        <v>37</v>
      </c>
      <c r="C15" s="72">
        <f>IF($C$3="yes",C23,"")</f>
        <v>2.5146942977101937E-5</v>
      </c>
      <c r="D15" s="40"/>
    </row>
    <row r="16" spans="1:28" s="41" customFormat="1" ht="15.75" customHeight="1">
      <c r="A16" s="36" t="s">
        <v>20</v>
      </c>
      <c r="B16" s="42" t="s">
        <v>34</v>
      </c>
      <c r="C16" s="73">
        <f>IF($C$3="yes",C15^2*1000*9.81/(12*0.0013)*C26*3600*24*365,"")</f>
        <v>2508.1378701749818</v>
      </c>
      <c r="D16" s="40"/>
    </row>
    <row r="17" spans="1:5" s="41" customFormat="1" ht="15.75" customHeight="1">
      <c r="A17" s="36" t="s">
        <v>29</v>
      </c>
      <c r="B17" s="46" t="s">
        <v>30</v>
      </c>
      <c r="C17" s="74">
        <f>IF(C4="no","",C24*C26*3600*24*365/C10)</f>
        <v>0.21024000000000001</v>
      </c>
      <c r="D17" s="40"/>
    </row>
    <row r="18" spans="1:5" s="41" customFormat="1" ht="15.75" customHeight="1">
      <c r="A18" s="36" t="s">
        <v>68</v>
      </c>
      <c r="B18" s="42" t="s">
        <v>69</v>
      </c>
      <c r="C18" s="31">
        <v>0.1</v>
      </c>
      <c r="D18" s="47"/>
    </row>
    <row r="19" spans="1:5" s="41" customFormat="1" ht="15.75" customHeight="1">
      <c r="D19" s="47"/>
    </row>
    <row r="20" spans="1:5" s="41" customFormat="1" ht="15.75" customHeight="1">
      <c r="A20" s="34" t="s">
        <v>72</v>
      </c>
      <c r="B20" s="35"/>
      <c r="C20" s="35"/>
      <c r="D20" s="47"/>
    </row>
    <row r="21" spans="1:5" s="41" customFormat="1" ht="15.75" customHeight="1">
      <c r="A21" s="48" t="s">
        <v>79</v>
      </c>
      <c r="B21" s="35"/>
      <c r="C21" s="35"/>
      <c r="D21" s="47"/>
    </row>
    <row r="22" spans="1:5" s="41" customFormat="1" ht="15.75" customHeight="1">
      <c r="A22" s="36" t="s">
        <v>15</v>
      </c>
      <c r="B22" s="42" t="s">
        <v>38</v>
      </c>
      <c r="C22" s="75">
        <f>IF(C3="yes",C29,"")</f>
        <v>1</v>
      </c>
      <c r="D22" s="40"/>
    </row>
    <row r="23" spans="1:5" s="41" customFormat="1" ht="15.75" customHeight="1">
      <c r="A23" s="36" t="s">
        <v>14</v>
      </c>
      <c r="B23" s="42" t="s">
        <v>37</v>
      </c>
      <c r="C23" s="76">
        <f>IF(C3="yes",IF(ISBLANK($C$30)=FALSE,$C$30,($C$31*12*0.0013*$C$29/(1000*9.81))^(1/3)),"")</f>
        <v>2.5146942977101937E-5</v>
      </c>
      <c r="D23" s="40"/>
    </row>
    <row r="24" spans="1:5" s="41" customFormat="1" ht="15.75" customHeight="1">
      <c r="A24" s="36" t="s">
        <v>22</v>
      </c>
      <c r="B24" s="46" t="s">
        <v>10</v>
      </c>
      <c r="C24" s="77">
        <f>IF($C$4="no","",IF(ISBLANK($C$31)=FALSE,$C$31,1000*9.81*$C$23^(3)/(12*0.0013*$C$22)))</f>
        <v>1E-8</v>
      </c>
      <c r="D24" s="40"/>
    </row>
    <row r="25" spans="1:5" s="41" customFormat="1" ht="15.75" customHeight="1">
      <c r="A25" s="36" t="s">
        <v>2</v>
      </c>
      <c r="B25" s="42" t="s">
        <v>36</v>
      </c>
      <c r="C25" s="78">
        <f>IF($C$4="no","",IF(ISBLANK($C$32)=FALSE,$C$32,$C$24*$C$33*3600*24*365*1000))</f>
        <v>63.072000000000003</v>
      </c>
      <c r="D25" s="40"/>
    </row>
    <row r="26" spans="1:5" s="41" customFormat="1" ht="15.75" customHeight="1">
      <c r="A26" s="36" t="s">
        <v>23</v>
      </c>
      <c r="B26" s="51" t="s">
        <v>24</v>
      </c>
      <c r="C26" s="74">
        <f>IF($C$4="no","",IF(ISBLANK($C$33)=FALSE,$C$33,C25/1000/3600/24/365/$C$24))</f>
        <v>0.2</v>
      </c>
      <c r="D26" s="47"/>
    </row>
    <row r="27" spans="1:5" s="41" customFormat="1" ht="15.75" customHeight="1">
      <c r="D27" s="40"/>
    </row>
    <row r="28" spans="1:5" s="41" customFormat="1" ht="15.75" customHeight="1">
      <c r="A28" s="34" t="s">
        <v>73</v>
      </c>
      <c r="B28" s="35"/>
      <c r="C28" s="35"/>
      <c r="D28" s="40"/>
    </row>
    <row r="29" spans="1:5" s="41" customFormat="1" ht="15.75" customHeight="1">
      <c r="A29" s="36" t="s">
        <v>15</v>
      </c>
      <c r="B29" s="42" t="s">
        <v>38</v>
      </c>
      <c r="C29" s="45">
        <v>1</v>
      </c>
      <c r="D29" s="40"/>
    </row>
    <row r="30" spans="1:5" s="41" customFormat="1" ht="15.75" customHeight="1">
      <c r="A30" s="36" t="s">
        <v>14</v>
      </c>
      <c r="B30" s="42" t="s">
        <v>37</v>
      </c>
      <c r="C30" s="49"/>
      <c r="D30" s="109" t="s">
        <v>78</v>
      </c>
      <c r="E30" s="79" t="b">
        <f>ISBLANK(C30)</f>
        <v>1</v>
      </c>
    </row>
    <row r="31" spans="1:5" s="41" customFormat="1" ht="15.75" customHeight="1">
      <c r="A31" s="36" t="s">
        <v>22</v>
      </c>
      <c r="B31" s="42" t="s">
        <v>48</v>
      </c>
      <c r="C31" s="49">
        <v>1E-8</v>
      </c>
      <c r="D31" s="109"/>
      <c r="E31" s="79" t="b">
        <f>ISBLANK(C31)</f>
        <v>0</v>
      </c>
    </row>
    <row r="32" spans="1:5" s="41" customFormat="1" ht="15.75" customHeight="1">
      <c r="A32" s="36" t="s">
        <v>2</v>
      </c>
      <c r="B32" s="42" t="s">
        <v>36</v>
      </c>
      <c r="C32" s="50"/>
      <c r="D32" s="110" t="s">
        <v>78</v>
      </c>
      <c r="E32" s="79" t="b">
        <f>ISBLANK(C32)</f>
        <v>1</v>
      </c>
    </row>
    <row r="33" spans="1:14" s="41" customFormat="1" ht="15.75" customHeight="1">
      <c r="A33" s="36" t="s">
        <v>23</v>
      </c>
      <c r="B33" s="42" t="s">
        <v>47</v>
      </c>
      <c r="C33" s="31">
        <v>0.2</v>
      </c>
      <c r="D33" s="110"/>
      <c r="E33" s="79" t="b">
        <f>ISBLANK(C33)</f>
        <v>0</v>
      </c>
    </row>
    <row r="34" spans="1:14" s="41" customFormat="1" ht="15.75" customHeight="1">
      <c r="D34" s="40"/>
    </row>
    <row r="35" spans="1:14" ht="15.6">
      <c r="A35" s="34" t="s">
        <v>75</v>
      </c>
      <c r="B35" s="35"/>
      <c r="C35" s="35"/>
      <c r="D35" s="40"/>
      <c r="E35" s="41"/>
      <c r="F35" s="41"/>
      <c r="G35" s="41"/>
      <c r="H35" s="41"/>
      <c r="I35" s="41"/>
      <c r="J35" s="41"/>
      <c r="K35" s="41"/>
      <c r="L35" s="41"/>
      <c r="M35" s="41"/>
      <c r="N35" s="41"/>
    </row>
    <row r="36" spans="1:14">
      <c r="A36" s="36" t="s">
        <v>5</v>
      </c>
      <c r="B36" s="52"/>
      <c r="C36" s="80">
        <f>IF(C3="yes",C15/2*C13/(C10*SQRT(C14*C11)),"")</f>
        <v>5.4107606310190752E-4</v>
      </c>
      <c r="D36" s="40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14" s="53" customFormat="1">
      <c r="A37" s="36" t="s">
        <v>8</v>
      </c>
      <c r="B37" s="51"/>
      <c r="C37" s="80">
        <f>IF(C3="yes",SQRT(C12/C14),"")</f>
        <v>0</v>
      </c>
      <c r="D37" s="40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1:14">
      <c r="A38" s="36" t="s">
        <v>1</v>
      </c>
      <c r="B38" s="52"/>
      <c r="C38" s="80">
        <f>IF(C3="yes",SQRT(C14/C11),"")</f>
        <v>12.909944487358056</v>
      </c>
      <c r="D38" s="40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1:14">
      <c r="A39" s="36"/>
      <c r="B39" s="42"/>
      <c r="C39" s="54"/>
      <c r="D39" s="40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1:14" ht="15.6">
      <c r="A40" s="34" t="s">
        <v>76</v>
      </c>
      <c r="B40" s="35"/>
      <c r="C40" s="35"/>
      <c r="D40" s="40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1:14">
      <c r="A41" s="36" t="s">
        <v>51</v>
      </c>
      <c r="B41" s="42" t="s">
        <v>52</v>
      </c>
      <c r="C41" s="55">
        <v>8</v>
      </c>
      <c r="D41" s="40"/>
      <c r="F41" s="41"/>
      <c r="G41" s="41"/>
      <c r="H41" s="41"/>
      <c r="I41" s="41"/>
      <c r="J41" s="41"/>
      <c r="K41" s="41"/>
      <c r="L41" s="41"/>
      <c r="M41" s="41"/>
      <c r="N41" s="41"/>
    </row>
    <row r="42" spans="1:14">
      <c r="A42" s="36" t="s">
        <v>53</v>
      </c>
      <c r="B42" s="42" t="s">
        <v>54</v>
      </c>
      <c r="C42" s="55">
        <v>0.2</v>
      </c>
      <c r="D42" s="40"/>
      <c r="F42" s="41"/>
      <c r="G42" s="41"/>
      <c r="H42" s="41"/>
      <c r="I42" s="41"/>
      <c r="J42" s="41"/>
      <c r="K42" s="41"/>
      <c r="L42" s="41"/>
      <c r="M42" s="41"/>
      <c r="N42" s="41"/>
    </row>
    <row r="43" spans="1:14">
      <c r="A43" s="36" t="s">
        <v>21</v>
      </c>
      <c r="B43" s="46" t="s">
        <v>7</v>
      </c>
      <c r="C43" s="50"/>
      <c r="D43" s="40"/>
      <c r="E43" s="79" t="b">
        <f>ISBLANK(C43)</f>
        <v>1</v>
      </c>
      <c r="F43" s="41"/>
      <c r="G43" s="41"/>
      <c r="H43" s="41"/>
      <c r="I43" s="41"/>
      <c r="J43" s="41"/>
      <c r="K43" s="41"/>
      <c r="L43" s="41"/>
      <c r="M43" s="41"/>
      <c r="N43" s="41"/>
    </row>
    <row r="44" spans="1:14">
      <c r="A44" s="36" t="s">
        <v>11</v>
      </c>
      <c r="B44" s="46" t="s">
        <v>9</v>
      </c>
      <c r="C44" s="56">
        <v>5</v>
      </c>
      <c r="D44" s="40"/>
      <c r="E44" s="79" t="b">
        <f>ISBLANK(C44)</f>
        <v>0</v>
      </c>
      <c r="F44" s="41"/>
      <c r="G44" s="41"/>
      <c r="H44" s="41"/>
      <c r="I44" s="41"/>
      <c r="J44" s="41"/>
      <c r="K44" s="41"/>
      <c r="L44" s="41"/>
      <c r="M44" s="41"/>
      <c r="N44" s="41"/>
    </row>
    <row r="45" spans="1:14">
      <c r="A45" s="57"/>
      <c r="B45" s="58"/>
      <c r="C45" s="55"/>
      <c r="D45" s="40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4">
      <c r="A46" s="115" t="s">
        <v>82</v>
      </c>
      <c r="B46" s="116" t="s">
        <v>80</v>
      </c>
      <c r="C46" s="117">
        <f>(C14*(C22/2)^2)/C11</f>
        <v>41.666666666666664</v>
      </c>
      <c r="D46" s="108" t="s">
        <v>81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4">
      <c r="A47" s="115"/>
      <c r="B47" s="116"/>
      <c r="C47" s="117"/>
      <c r="D47" s="40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4" ht="13.8">
      <c r="D48" s="114" t="s">
        <v>55</v>
      </c>
      <c r="E48" s="114"/>
      <c r="F48" s="114"/>
      <c r="G48" s="114"/>
      <c r="H48" s="114"/>
      <c r="I48" s="114"/>
      <c r="J48" s="114"/>
      <c r="K48" s="114"/>
      <c r="L48" s="59" t="s">
        <v>56</v>
      </c>
      <c r="M48" s="60" t="s">
        <v>57</v>
      </c>
      <c r="N48" s="61" t="s">
        <v>60</v>
      </c>
    </row>
    <row r="49" spans="1:14">
      <c r="A49" s="62"/>
      <c r="B49" s="62"/>
      <c r="C49" s="63"/>
      <c r="D49" s="64" t="s">
        <v>26</v>
      </c>
      <c r="E49" s="113" t="s">
        <v>27</v>
      </c>
      <c r="F49" s="113"/>
      <c r="G49" s="113"/>
      <c r="H49" s="113"/>
      <c r="I49" s="113"/>
      <c r="J49" s="113"/>
      <c r="K49" s="113"/>
      <c r="L49" s="64"/>
      <c r="M49" s="65" t="s">
        <v>58</v>
      </c>
      <c r="N49" s="65" t="s">
        <v>61</v>
      </c>
    </row>
    <row r="50" spans="1:14">
      <c r="A50" s="66" t="s">
        <v>25</v>
      </c>
      <c r="B50" s="66" t="s">
        <v>12</v>
      </c>
      <c r="C50" s="67" t="s">
        <v>6</v>
      </c>
      <c r="D50" s="68"/>
      <c r="E50" s="69">
        <v>0.1</v>
      </c>
      <c r="F50" s="69">
        <v>0.2</v>
      </c>
      <c r="G50" s="69">
        <v>0.3</v>
      </c>
      <c r="H50" s="69">
        <v>0.4</v>
      </c>
      <c r="I50" s="69">
        <v>0.5</v>
      </c>
      <c r="J50" s="69">
        <v>0.6</v>
      </c>
      <c r="K50" s="69">
        <v>0.7</v>
      </c>
      <c r="L50" s="68"/>
      <c r="M50" s="70" t="s">
        <v>59</v>
      </c>
      <c r="N50" s="70"/>
    </row>
    <row r="51" spans="1:14">
      <c r="A51" s="81">
        <f>IF(ISBLANK($C$44),0,$C$44)</f>
        <v>5</v>
      </c>
      <c r="B51" s="81">
        <f>IF(ISBLANK($C$43),0,$C$43)</f>
        <v>0</v>
      </c>
      <c r="C51" s="82">
        <f t="shared" ref="C51:C82" si="0">IF((B51-$C$13/$C$16*A51)&gt;0,SQRT(B51-$C$13/$C$16*A51),0)</f>
        <v>0</v>
      </c>
      <c r="D51" s="83">
        <f t="shared" ref="D51:D82" si="1">IF(C51&gt;0,$C$9*(EXP(-$C$12*$B51/$C$14)-EXP(-$C$12*$A51/$C$16)*EXP(-$C$12*$C51^2/$C$14)*2*NORMSDIST(-$C$13*$A51/$C$16/(2*$C$36*$C51)*SQRT(2))),$C$9*EXP(-$C$12*$B51/$C$14))</f>
        <v>1</v>
      </c>
      <c r="E51" s="102">
        <f t="shared" ref="E51:K60" si="2">IF($C51&gt;0,$C$9*(EXP(-$C$12*$B51/$C$14)-EXP(-$C$12*$A51/$C$16)*EXP(-$C$12*$C51^2/$C$14)*2*NORMSDIST(-($C$13*$A51/$C$16/$C$36+$C$38*E$50)/(2*$C51)*SQRT(2))),$C$9*EXP(-$C$12*$B51/$C$14))</f>
        <v>1</v>
      </c>
      <c r="F51" s="103">
        <f t="shared" si="2"/>
        <v>1</v>
      </c>
      <c r="G51" s="103">
        <f t="shared" si="2"/>
        <v>1</v>
      </c>
      <c r="H51" s="103">
        <f t="shared" si="2"/>
        <v>1</v>
      </c>
      <c r="I51" s="103">
        <f t="shared" si="2"/>
        <v>1</v>
      </c>
      <c r="J51" s="103">
        <f t="shared" si="2"/>
        <v>1</v>
      </c>
      <c r="K51" s="104">
        <f t="shared" si="2"/>
        <v>1</v>
      </c>
      <c r="L51" s="83">
        <f>IF($A$51=0,0,$C$9)</f>
        <v>1</v>
      </c>
      <c r="M51" s="83">
        <f>IF($A$51=0,0,$C$9)</f>
        <v>1</v>
      </c>
      <c r="N51" s="83">
        <f>IF(A51=0,0,C9)</f>
        <v>1</v>
      </c>
    </row>
    <row r="52" spans="1:14">
      <c r="A52" s="81">
        <f t="shared" ref="A52:A83" si="3">IF(ISBLANK($C$44),A51+$C$42,$C$44)</f>
        <v>5</v>
      </c>
      <c r="B52" s="81">
        <f t="shared" ref="B52:B83" si="4">IF(ISBLANK($C$43),B51+$C$41,$C$43)</f>
        <v>8</v>
      </c>
      <c r="C52" s="82">
        <f t="shared" si="0"/>
        <v>2.8280746965334775</v>
      </c>
      <c r="D52" s="83">
        <f t="shared" si="1"/>
        <v>0.64305450666299713</v>
      </c>
      <c r="E52" s="105">
        <f t="shared" si="2"/>
        <v>0.78649669701902836</v>
      </c>
      <c r="F52" s="106">
        <f t="shared" si="2"/>
        <v>0.88283356531487445</v>
      </c>
      <c r="G52" s="106">
        <f t="shared" si="2"/>
        <v>0.94118417315271197</v>
      </c>
      <c r="H52" s="106">
        <f t="shared" si="2"/>
        <v>0.97305794657810241</v>
      </c>
      <c r="I52" s="106">
        <f t="shared" si="2"/>
        <v>0.98875992639469956</v>
      </c>
      <c r="J52" s="106">
        <f t="shared" si="2"/>
        <v>0.9957359092735325</v>
      </c>
      <c r="K52" s="107">
        <f t="shared" si="2"/>
        <v>0.99853091890832246</v>
      </c>
      <c r="L52" s="83">
        <f>$C$9*EXP(-$C$12*$B52/$C$14)*(1-0.5*2*NORMSDIST(-($C$14*$A52-$C$17*$B52)/(2*SQRT(($C$18*$C$17+$C$11)*$C$14*$B52))*SQRT(2))-0.5*EXP($C$17*$A52/(($C$18*$C$17+$C$11)))*2*NORMSDIST(-($C$14*$A52+$C$17*$B52)/(2*SQRT(($C$18*$C$17+$C$11)*$C$14*$B52))*SQRT(2)))</f>
        <v>0.99999965949158987</v>
      </c>
      <c r="M52" s="83">
        <f t="shared" ref="M52:M83" si="5">$C$9*EXP(-$C$12*$B52/$C$14)*(1-0.5*2*NORMSDIST(-($C$14*$A52)/(2*SQRT(($C$11)*$C$14*$B52))*SQRT(2))-0.5*2*NORMSDIST(-($C$14*$A52)/(2*SQRT(($C$11)*$C$14*$B52))*SQRT(2)))</f>
        <v>1</v>
      </c>
      <c r="N52" s="83">
        <f>$C$9*EXP(-($C$25/1000/($C$10*$A52)+$C$12)/$C$14*$B52)</f>
        <v>0.71434874322441289</v>
      </c>
    </row>
    <row r="53" spans="1:14">
      <c r="A53" s="81">
        <f t="shared" si="3"/>
        <v>5</v>
      </c>
      <c r="B53" s="81">
        <f t="shared" si="4"/>
        <v>16</v>
      </c>
      <c r="C53" s="82">
        <f t="shared" si="0"/>
        <v>3.9997508033842459</v>
      </c>
      <c r="D53" s="83">
        <f t="shared" si="1"/>
        <v>0.48517741515973256</v>
      </c>
      <c r="E53" s="105">
        <f t="shared" si="2"/>
        <v>0.62091249561885276</v>
      </c>
      <c r="F53" s="106">
        <f t="shared" si="2"/>
        <v>0.73205646249370893</v>
      </c>
      <c r="G53" s="106">
        <f t="shared" si="2"/>
        <v>0.8184646976505221</v>
      </c>
      <c r="H53" s="106">
        <f t="shared" si="2"/>
        <v>0.8822469280249623</v>
      </c>
      <c r="I53" s="106">
        <f t="shared" si="2"/>
        <v>0.92694815456880097</v>
      </c>
      <c r="J53" s="106">
        <f t="shared" si="2"/>
        <v>0.95669316797043757</v>
      </c>
      <c r="K53" s="107">
        <f t="shared" si="2"/>
        <v>0.97548563010505207</v>
      </c>
      <c r="L53" s="83">
        <f t="shared" ref="L53:L116" si="6">$C$9*EXP(-$C$12*$B53/$C$14)*(1-0.5*2*NORMSDIST(-($C$14*$A53-$C$17*$B53)/(2*SQRT(($C$18*$C$17+$C$11)*$C$14*$B53))*SQRT(2))-0.5*EXP($C$17*$A53/(($C$18*$C$17+$C$11)))*2*NORMSDIST(-($C$14*$A53+$C$17*$B53)/(2*SQRT(($C$18*$C$17+$C$11)*$C$14*$B53))*SQRT(2)))</f>
        <v>0.95142666624748906</v>
      </c>
      <c r="M53" s="83">
        <f t="shared" si="5"/>
        <v>1</v>
      </c>
      <c r="N53" s="83">
        <f t="shared" ref="N53:N116" si="7">$C$9*EXP(-($C$25/1000/($C$10*$A53)+$C$12)/$C$14*$B53)</f>
        <v>0.51029412694629817</v>
      </c>
    </row>
    <row r="54" spans="1:14">
      <c r="A54" s="81">
        <f t="shared" si="3"/>
        <v>5</v>
      </c>
      <c r="B54" s="81">
        <f t="shared" si="4"/>
        <v>24</v>
      </c>
      <c r="C54" s="82">
        <f t="shared" si="0"/>
        <v>4.8987760194943517</v>
      </c>
      <c r="D54" s="83">
        <f t="shared" si="1"/>
        <v>0.40514341910362672</v>
      </c>
      <c r="E54" s="105">
        <f t="shared" si="2"/>
        <v>0.52734025387719341</v>
      </c>
      <c r="F54" s="106">
        <f t="shared" si="2"/>
        <v>0.63427228425117388</v>
      </c>
      <c r="G54" s="106">
        <f t="shared" si="2"/>
        <v>0.72466184736164618</v>
      </c>
      <c r="H54" s="106">
        <f t="shared" si="2"/>
        <v>0.79846779382487254</v>
      </c>
      <c r="I54" s="106">
        <f t="shared" si="2"/>
        <v>0.85668173225498379</v>
      </c>
      <c r="J54" s="106">
        <f t="shared" si="2"/>
        <v>0.90103495040789783</v>
      </c>
      <c r="K54" s="107">
        <f t="shared" si="2"/>
        <v>0.93367762803133392</v>
      </c>
      <c r="L54" s="83">
        <f t="shared" si="6"/>
        <v>0.43934223977671888</v>
      </c>
      <c r="M54" s="83">
        <f t="shared" si="5"/>
        <v>1</v>
      </c>
      <c r="N54" s="83">
        <f t="shared" si="7"/>
        <v>0.36452796825888717</v>
      </c>
    </row>
    <row r="55" spans="1:14">
      <c r="A55" s="81">
        <f t="shared" si="3"/>
        <v>5</v>
      </c>
      <c r="B55" s="81">
        <f t="shared" si="4"/>
        <v>32</v>
      </c>
      <c r="C55" s="82">
        <f t="shared" si="0"/>
        <v>5.6566780436200297</v>
      </c>
      <c r="D55" s="83">
        <f t="shared" si="1"/>
        <v>0.35488385994661154</v>
      </c>
      <c r="E55" s="105">
        <f t="shared" si="2"/>
        <v>0.46601656729229424</v>
      </c>
      <c r="F55" s="106">
        <f t="shared" si="2"/>
        <v>0.56655850227739091</v>
      </c>
      <c r="G55" s="106">
        <f t="shared" si="2"/>
        <v>0.65518562227219479</v>
      </c>
      <c r="H55" s="106">
        <f t="shared" si="2"/>
        <v>0.73130585005918203</v>
      </c>
      <c r="I55" s="106">
        <f t="shared" si="2"/>
        <v>0.79500704171887326</v>
      </c>
      <c r="J55" s="106">
        <f t="shared" si="2"/>
        <v>0.84694789238818258</v>
      </c>
      <c r="K55" s="107">
        <f t="shared" si="2"/>
        <v>0.88821315090009945</v>
      </c>
      <c r="L55" s="83">
        <f t="shared" si="6"/>
        <v>7.5825584834943047E-2</v>
      </c>
      <c r="M55" s="83">
        <f t="shared" si="5"/>
        <v>0.99999999999999933</v>
      </c>
      <c r="N55" s="83">
        <f t="shared" si="7"/>
        <v>0.26040009599588471</v>
      </c>
    </row>
    <row r="56" spans="1:14">
      <c r="A56" s="81">
        <f t="shared" si="3"/>
        <v>5</v>
      </c>
      <c r="B56" s="81">
        <f t="shared" si="4"/>
        <v>40</v>
      </c>
      <c r="C56" s="82">
        <f t="shared" si="0"/>
        <v>6.3243977175042465</v>
      </c>
      <c r="D56" s="83">
        <f t="shared" si="1"/>
        <v>0.31961113505348426</v>
      </c>
      <c r="E56" s="105">
        <f t="shared" si="2"/>
        <v>0.42197624364197894</v>
      </c>
      <c r="F56" s="106">
        <f t="shared" si="2"/>
        <v>0.5164566068372558</v>
      </c>
      <c r="G56" s="106">
        <f t="shared" si="2"/>
        <v>0.60186461551145909</v>
      </c>
      <c r="H56" s="106">
        <f t="shared" si="2"/>
        <v>0.67748224775746824</v>
      </c>
      <c r="I56" s="106">
        <f t="shared" si="2"/>
        <v>0.74305372759188426</v>
      </c>
      <c r="J56" s="106">
        <f t="shared" si="2"/>
        <v>0.7987433563949804</v>
      </c>
      <c r="K56" s="107">
        <f t="shared" si="2"/>
        <v>0.84506682632506847</v>
      </c>
      <c r="L56" s="83">
        <f t="shared" si="6"/>
        <v>7.2612175874872276E-3</v>
      </c>
      <c r="M56" s="83">
        <f t="shared" si="5"/>
        <v>0.99999999999946798</v>
      </c>
      <c r="N56" s="83">
        <f t="shared" si="7"/>
        <v>0.18601648131017673</v>
      </c>
    </row>
    <row r="57" spans="1:14">
      <c r="A57" s="81">
        <f t="shared" si="3"/>
        <v>5</v>
      </c>
      <c r="B57" s="81">
        <f t="shared" si="4"/>
        <v>48</v>
      </c>
      <c r="C57" s="82">
        <f t="shared" si="0"/>
        <v>6.9280593595301223</v>
      </c>
      <c r="D57" s="83">
        <f t="shared" si="1"/>
        <v>0.293112606312395</v>
      </c>
      <c r="E57" s="105">
        <f t="shared" si="2"/>
        <v>0.3884091884491998</v>
      </c>
      <c r="F57" s="106">
        <f t="shared" si="2"/>
        <v>0.47754669989528464</v>
      </c>
      <c r="G57" s="106">
        <f t="shared" si="2"/>
        <v>0.55949018628244351</v>
      </c>
      <c r="H57" s="106">
        <f t="shared" si="2"/>
        <v>0.6335255339690129</v>
      </c>
      <c r="I57" s="106">
        <f t="shared" si="2"/>
        <v>0.69926626836151984</v>
      </c>
      <c r="J57" s="106">
        <f t="shared" si="2"/>
        <v>0.75663836594508682</v>
      </c>
      <c r="K57" s="107">
        <f t="shared" si="2"/>
        <v>0.80584658520200625</v>
      </c>
      <c r="L57" s="83">
        <f t="shared" si="6"/>
        <v>5.0110245828126777E-4</v>
      </c>
      <c r="M57" s="83">
        <f t="shared" si="5"/>
        <v>0.99999999995544453</v>
      </c>
      <c r="N57" s="83">
        <f t="shared" si="7"/>
        <v>0.13288063964295224</v>
      </c>
    </row>
    <row r="58" spans="1:14">
      <c r="A58" s="81">
        <f t="shared" si="3"/>
        <v>5</v>
      </c>
      <c r="B58" s="81">
        <f t="shared" si="4"/>
        <v>56</v>
      </c>
      <c r="C58" s="82">
        <f t="shared" si="0"/>
        <v>7.4831815753176087</v>
      </c>
      <c r="D58" s="83">
        <f t="shared" si="1"/>
        <v>0.27226800746082747</v>
      </c>
      <c r="E58" s="105">
        <f t="shared" si="2"/>
        <v>0.3617405341254738</v>
      </c>
      <c r="F58" s="106">
        <f t="shared" si="2"/>
        <v>0.44623205898189822</v>
      </c>
      <c r="G58" s="106">
        <f t="shared" si="2"/>
        <v>0.52484275797827262</v>
      </c>
      <c r="H58" s="106">
        <f t="shared" si="2"/>
        <v>0.59690291939605444</v>
      </c>
      <c r="I58" s="106">
        <f t="shared" si="2"/>
        <v>0.66198386657564523</v>
      </c>
      <c r="J58" s="106">
        <f t="shared" si="2"/>
        <v>0.71989439926731769</v>
      </c>
      <c r="K58" s="107">
        <f t="shared" si="2"/>
        <v>0.77066429994354158</v>
      </c>
      <c r="L58" s="83">
        <f t="shared" si="6"/>
        <v>2.8507561041558863E-5</v>
      </c>
      <c r="M58" s="83">
        <f t="shared" si="5"/>
        <v>0.99999999893516311</v>
      </c>
      <c r="N58" s="83">
        <f t="shared" si="7"/>
        <v>9.4923117927799006E-2</v>
      </c>
    </row>
    <row r="59" spans="1:14">
      <c r="A59" s="81">
        <f t="shared" si="3"/>
        <v>5</v>
      </c>
      <c r="B59" s="81">
        <f t="shared" si="4"/>
        <v>64</v>
      </c>
      <c r="C59" s="82">
        <f t="shared" si="0"/>
        <v>7.9998754046030571</v>
      </c>
      <c r="D59" s="83">
        <f t="shared" si="1"/>
        <v>0.2553170486156926</v>
      </c>
      <c r="E59" s="105">
        <f t="shared" si="2"/>
        <v>0.33989548522266766</v>
      </c>
      <c r="F59" s="106">
        <f t="shared" si="2"/>
        <v>0.42033869491405995</v>
      </c>
      <c r="G59" s="106">
        <f t="shared" si="2"/>
        <v>0.49586012558662218</v>
      </c>
      <c r="H59" s="106">
        <f t="shared" si="2"/>
        <v>0.56584466463944083</v>
      </c>
      <c r="I59" s="106">
        <f t="shared" si="2"/>
        <v>0.62986015605875645</v>
      </c>
      <c r="J59" s="106">
        <f t="shared" si="2"/>
        <v>0.68765899834658395</v>
      </c>
      <c r="K59" s="107">
        <f t="shared" si="2"/>
        <v>0.73917050743665991</v>
      </c>
      <c r="L59" s="83">
        <f t="shared" si="6"/>
        <v>1.4367455648830226E-6</v>
      </c>
      <c r="M59" s="83">
        <f t="shared" si="5"/>
        <v>0.99999998839593229</v>
      </c>
      <c r="N59" s="83">
        <f t="shared" si="7"/>
        <v>6.7808209994665969E-2</v>
      </c>
    </row>
    <row r="60" spans="1:14">
      <c r="A60" s="81">
        <f t="shared" si="3"/>
        <v>5</v>
      </c>
      <c r="B60" s="81">
        <f t="shared" si="4"/>
        <v>72</v>
      </c>
      <c r="C60" s="82">
        <f t="shared" si="0"/>
        <v>8.4851639046734348</v>
      </c>
      <c r="D60" s="83">
        <f t="shared" si="1"/>
        <v>0.24118173913159291</v>
      </c>
      <c r="E60" s="105">
        <f t="shared" si="2"/>
        <v>0.32157795594367311</v>
      </c>
      <c r="F60" s="106">
        <f t="shared" si="2"/>
        <v>0.39847010545365946</v>
      </c>
      <c r="G60" s="106">
        <f t="shared" si="2"/>
        <v>0.47116544023892803</v>
      </c>
      <c r="H60" s="106">
        <f t="shared" si="2"/>
        <v>0.5391028884110991</v>
      </c>
      <c r="I60" s="106">
        <f t="shared" si="2"/>
        <v>0.60186391934303796</v>
      </c>
      <c r="J60" s="106">
        <f t="shared" si="2"/>
        <v>0.65917638023156</v>
      </c>
      <c r="K60" s="107">
        <f t="shared" si="2"/>
        <v>0.71091158746334826</v>
      </c>
      <c r="L60" s="83">
        <f t="shared" si="6"/>
        <v>6.6844740760842194E-8</v>
      </c>
      <c r="M60" s="83">
        <f t="shared" si="5"/>
        <v>0.99999992515897729</v>
      </c>
      <c r="N60" s="83">
        <f t="shared" si="7"/>
        <v>4.8438709589986723E-2</v>
      </c>
    </row>
    <row r="61" spans="1:14">
      <c r="A61" s="81">
        <f t="shared" si="3"/>
        <v>5</v>
      </c>
      <c r="B61" s="81">
        <f t="shared" si="4"/>
        <v>80</v>
      </c>
      <c r="C61" s="82">
        <f t="shared" si="0"/>
        <v>8.9441604686618259</v>
      </c>
      <c r="D61" s="83">
        <f t="shared" si="1"/>
        <v>0.22916026916047194</v>
      </c>
      <c r="E61" s="105">
        <f t="shared" ref="E61:K70" si="8">IF($C61&gt;0,$C$9*(EXP(-$C$12*$B61/$C$14)-EXP(-$C$12*$A61/$C$16)*EXP(-$C$12*$C61^2/$C$14)*2*NORMSDIST(-($C$13*$A61/$C$16/$C$36+$C$38*E$50)/(2*$C61)*SQRT(2))),$C$9*EXP(-$C$12*$B61/$C$14))</f>
        <v>0.30593163020773484</v>
      </c>
      <c r="F61" s="106">
        <f t="shared" si="8"/>
        <v>0.37968457375799591</v>
      </c>
      <c r="G61" s="106">
        <f t="shared" si="8"/>
        <v>0.4498041669707975</v>
      </c>
      <c r="H61" s="106">
        <f t="shared" si="8"/>
        <v>0.51577915641553762</v>
      </c>
      <c r="I61" s="106">
        <f t="shared" si="8"/>
        <v>0.57721179686974011</v>
      </c>
      <c r="J61" s="106">
        <f t="shared" si="8"/>
        <v>0.63382255176831093</v>
      </c>
      <c r="K61" s="107">
        <f t="shared" si="8"/>
        <v>0.68544975761129567</v>
      </c>
      <c r="L61" s="83">
        <f t="shared" si="6"/>
        <v>2.9435190077897665E-9</v>
      </c>
      <c r="M61" s="83">
        <f t="shared" si="5"/>
        <v>0.99999966587208866</v>
      </c>
      <c r="N61" s="83">
        <f t="shared" si="7"/>
        <v>3.4602131319019326E-2</v>
      </c>
    </row>
    <row r="62" spans="1:14">
      <c r="A62" s="81">
        <f t="shared" si="3"/>
        <v>5</v>
      </c>
      <c r="B62" s="81">
        <f t="shared" si="4"/>
        <v>88</v>
      </c>
      <c r="C62" s="82">
        <f t="shared" si="0"/>
        <v>9.3807252645609935</v>
      </c>
      <c r="D62" s="83">
        <f t="shared" si="1"/>
        <v>0.2187735309904546</v>
      </c>
      <c r="E62" s="105">
        <f t="shared" si="8"/>
        <v>0.29236523672225823</v>
      </c>
      <c r="F62" s="106">
        <f t="shared" si="8"/>
        <v>0.3633216082218973</v>
      </c>
      <c r="G62" s="106">
        <f t="shared" si="8"/>
        <v>0.4310926938108266</v>
      </c>
      <c r="H62" s="106">
        <f t="shared" si="8"/>
        <v>0.49521187974510283</v>
      </c>
      <c r="I62" s="106">
        <f t="shared" si="8"/>
        <v>0.55530462864570618</v>
      </c>
      <c r="J62" s="106">
        <f t="shared" si="8"/>
        <v>0.61109338183298467</v>
      </c>
      <c r="K62" s="107">
        <f t="shared" si="8"/>
        <v>0.66239862536017791</v>
      </c>
      <c r="L62" s="83">
        <f t="shared" si="6"/>
        <v>1.2464820963610631E-10</v>
      </c>
      <c r="M62" s="83">
        <f t="shared" si="5"/>
        <v>0.9999988590051947</v>
      </c>
      <c r="N62" s="83">
        <f t="shared" si="7"/>
        <v>2.4717989020627548E-2</v>
      </c>
    </row>
    <row r="63" spans="1:14">
      <c r="A63" s="81">
        <f t="shared" si="3"/>
        <v>5</v>
      </c>
      <c r="B63" s="81">
        <f t="shared" si="4"/>
        <v>96</v>
      </c>
      <c r="C63" s="82">
        <f t="shared" si="0"/>
        <v>9.7978572396811803</v>
      </c>
      <c r="D63" s="83">
        <f t="shared" si="1"/>
        <v>0.2096818108898344</v>
      </c>
      <c r="E63" s="105">
        <f t="shared" si="8"/>
        <v>0.28045571764980903</v>
      </c>
      <c r="F63" s="106">
        <f t="shared" si="8"/>
        <v>0.34890274017788814</v>
      </c>
      <c r="G63" s="106">
        <f t="shared" si="8"/>
        <v>0.41452764443155887</v>
      </c>
      <c r="H63" s="106">
        <f t="shared" si="8"/>
        <v>0.47690335917544502</v>
      </c>
      <c r="I63" s="106">
        <f t="shared" si="8"/>
        <v>0.53567869479998231</v>
      </c>
      <c r="J63" s="106">
        <f t="shared" si="8"/>
        <v>0.59058313028514764</v>
      </c>
      <c r="K63" s="107">
        <f t="shared" si="8"/>
        <v>0.64142862455139094</v>
      </c>
      <c r="L63" s="83">
        <f t="shared" si="6"/>
        <v>5.1298148823618637E-12</v>
      </c>
      <c r="M63" s="83">
        <f t="shared" si="5"/>
        <v>0.9999968143943252</v>
      </c>
      <c r="N63" s="83">
        <f t="shared" si="7"/>
        <v>1.7657264391920131E-2</v>
      </c>
    </row>
    <row r="64" spans="1:14">
      <c r="A64" s="81">
        <f t="shared" si="3"/>
        <v>5</v>
      </c>
      <c r="B64" s="81">
        <f t="shared" si="4"/>
        <v>104</v>
      </c>
      <c r="C64" s="82">
        <f t="shared" si="0"/>
        <v>10.197941286807495</v>
      </c>
      <c r="D64" s="83">
        <f t="shared" si="1"/>
        <v>0.20163664683365412</v>
      </c>
      <c r="E64" s="105">
        <f t="shared" si="8"/>
        <v>0.26989136008032166</v>
      </c>
      <c r="F64" s="106">
        <f t="shared" si="8"/>
        <v>0.33607187309372644</v>
      </c>
      <c r="G64" s="106">
        <f t="shared" si="8"/>
        <v>0.39972942676279688</v>
      </c>
      <c r="H64" s="106">
        <f t="shared" si="8"/>
        <v>0.46047184710777733</v>
      </c>
      <c r="I64" s="106">
        <f t="shared" si="8"/>
        <v>0.5179703547991199</v>
      </c>
      <c r="J64" s="106">
        <f t="shared" si="8"/>
        <v>0.57196409168646634</v>
      </c>
      <c r="K64" s="107">
        <f t="shared" si="8"/>
        <v>0.62226230179633268</v>
      </c>
      <c r="L64" s="83">
        <f t="shared" si="6"/>
        <v>2.0667268344236759E-13</v>
      </c>
      <c r="M64" s="83">
        <f t="shared" si="5"/>
        <v>0.9999923845037384</v>
      </c>
      <c r="N64" s="83">
        <f t="shared" si="7"/>
        <v>1.2613444627149325E-2</v>
      </c>
    </row>
    <row r="65" spans="1:14">
      <c r="A65" s="81">
        <f t="shared" si="3"/>
        <v>5</v>
      </c>
      <c r="B65" s="81">
        <f t="shared" si="4"/>
        <v>112</v>
      </c>
      <c r="C65" s="82">
        <f t="shared" si="0"/>
        <v>10.582911059305607</v>
      </c>
      <c r="D65" s="83">
        <f t="shared" si="1"/>
        <v>0.19445155954529891</v>
      </c>
      <c r="E65" s="105">
        <f t="shared" si="8"/>
        <v>0.26043677114280617</v>
      </c>
      <c r="F65" s="106">
        <f t="shared" si="8"/>
        <v>0.32455785321663355</v>
      </c>
      <c r="G65" s="106">
        <f t="shared" si="8"/>
        <v>0.38640585309458264</v>
      </c>
      <c r="H65" s="106">
        <f t="shared" si="8"/>
        <v>0.44561939831661057</v>
      </c>
      <c r="I65" s="106">
        <f t="shared" si="8"/>
        <v>0.5018907122400893</v>
      </c>
      <c r="J65" s="106">
        <f t="shared" si="8"/>
        <v>0.55496982265340655</v>
      </c>
      <c r="K65" s="107">
        <f t="shared" si="8"/>
        <v>0.60466689472433188</v>
      </c>
      <c r="L65" s="83">
        <f t="shared" si="6"/>
        <v>8.1395805641058036E-15</v>
      </c>
      <c r="M65" s="83">
        <f t="shared" si="5"/>
        <v>0.99998388800970117</v>
      </c>
      <c r="N65" s="83">
        <f t="shared" si="7"/>
        <v>9.0103983171348368E-3</v>
      </c>
    </row>
    <row r="66" spans="1:14">
      <c r="A66" s="81">
        <f t="shared" si="3"/>
        <v>5</v>
      </c>
      <c r="B66" s="81">
        <f t="shared" si="4"/>
        <v>120</v>
      </c>
      <c r="C66" s="82">
        <f t="shared" si="0"/>
        <v>10.954360158821368</v>
      </c>
      <c r="D66" s="83">
        <f t="shared" si="1"/>
        <v>0.18798349444108364</v>
      </c>
      <c r="E66" s="105">
        <f t="shared" si="8"/>
        <v>0.2519104331840043</v>
      </c>
      <c r="F66" s="106">
        <f t="shared" si="8"/>
        <v>0.31415011855083996</v>
      </c>
      <c r="G66" s="106">
        <f t="shared" si="8"/>
        <v>0.37432796336659946</v>
      </c>
      <c r="H66" s="106">
        <f t="shared" si="8"/>
        <v>0.43210983862805064</v>
      </c>
      <c r="I66" s="106">
        <f t="shared" si="8"/>
        <v>0.48720740231301018</v>
      </c>
      <c r="J66" s="106">
        <f t="shared" si="8"/>
        <v>0.5393819772367876</v>
      </c>
      <c r="K66" s="107">
        <f t="shared" si="8"/>
        <v>0.58844690955192736</v>
      </c>
      <c r="L66" s="83">
        <f t="shared" si="6"/>
        <v>3.3388740103308195E-16</v>
      </c>
      <c r="M66" s="83">
        <f t="shared" si="5"/>
        <v>0.99996909140621981</v>
      </c>
      <c r="N66" s="83">
        <f t="shared" si="7"/>
        <v>6.4365667137966376E-3</v>
      </c>
    </row>
    <row r="67" spans="1:14">
      <c r="A67" s="81">
        <f t="shared" si="3"/>
        <v>5</v>
      </c>
      <c r="B67" s="81">
        <f t="shared" si="4"/>
        <v>128</v>
      </c>
      <c r="C67" s="82">
        <f t="shared" si="0"/>
        <v>11.313620397077715</v>
      </c>
      <c r="D67" s="83">
        <f t="shared" si="1"/>
        <v>0.18212063115401023</v>
      </c>
      <c r="E67" s="105">
        <f t="shared" si="8"/>
        <v>0.24416982861062686</v>
      </c>
      <c r="F67" s="106">
        <f t="shared" si="8"/>
        <v>0.30468235696247059</v>
      </c>
      <c r="G67" s="106">
        <f t="shared" si="8"/>
        <v>0.3633135162137644</v>
      </c>
      <c r="H67" s="106">
        <f t="shared" si="8"/>
        <v>0.41975334850930612</v>
      </c>
      <c r="I67" s="106">
        <f t="shared" si="8"/>
        <v>0.47373137469214655</v>
      </c>
      <c r="J67" s="106">
        <f t="shared" si="8"/>
        <v>0.52502015084598219</v>
      </c>
      <c r="K67" s="107">
        <f t="shared" si="8"/>
        <v>0.57343757980230414</v>
      </c>
      <c r="L67" s="83">
        <f t="shared" si="6"/>
        <v>-2.7879750605846992E-17</v>
      </c>
      <c r="M67" s="83">
        <f t="shared" si="5"/>
        <v>0.99994524813051355</v>
      </c>
      <c r="N67" s="83">
        <f t="shared" si="7"/>
        <v>4.5979533426807181E-3</v>
      </c>
    </row>
    <row r="68" spans="1:14">
      <c r="A68" s="81">
        <f t="shared" si="3"/>
        <v>5</v>
      </c>
      <c r="B68" s="81">
        <f t="shared" si="4"/>
        <v>136</v>
      </c>
      <c r="C68" s="82">
        <f t="shared" si="0"/>
        <v>11.661818318305809</v>
      </c>
      <c r="D68" s="83">
        <f t="shared" si="1"/>
        <v>0.17677413017861299</v>
      </c>
      <c r="E68" s="105">
        <f t="shared" si="8"/>
        <v>0.23710129269730928</v>
      </c>
      <c r="F68" s="106">
        <f t="shared" si="8"/>
        <v>0.29602124014816544</v>
      </c>
      <c r="G68" s="106">
        <f t="shared" si="8"/>
        <v>0.35321544206269828</v>
      </c>
      <c r="H68" s="106">
        <f t="shared" si="8"/>
        <v>0.4083954627559514</v>
      </c>
      <c r="I68" s="106">
        <f t="shared" si="8"/>
        <v>0.46130718710996721</v>
      </c>
      <c r="J68" s="106">
        <f t="shared" si="8"/>
        <v>0.51173407570851781</v>
      </c>
      <c r="K68" s="107">
        <f t="shared" si="8"/>
        <v>0.5594993890539508</v>
      </c>
      <c r="L68" s="83">
        <f t="shared" si="6"/>
        <v>-1.1527774829911932E-18</v>
      </c>
      <c r="M68" s="83">
        <f t="shared" si="5"/>
        <v>0.99990918342588708</v>
      </c>
      <c r="N68" s="83">
        <f t="shared" si="7"/>
        <v>3.2845421917484605E-3</v>
      </c>
    </row>
    <row r="69" spans="1:14">
      <c r="A69" s="81">
        <f t="shared" si="3"/>
        <v>5</v>
      </c>
      <c r="B69" s="81">
        <f t="shared" si="4"/>
        <v>144</v>
      </c>
      <c r="C69" s="82">
        <f t="shared" si="0"/>
        <v>11.999916936761393</v>
      </c>
      <c r="D69" s="83">
        <f t="shared" si="1"/>
        <v>0.17187239722131986</v>
      </c>
      <c r="E69" s="105">
        <f t="shared" si="8"/>
        <v>0.23061291595084432</v>
      </c>
      <c r="F69" s="106">
        <f t="shared" si="8"/>
        <v>0.2880584719937731</v>
      </c>
      <c r="G69" s="106">
        <f t="shared" si="8"/>
        <v>0.34391359292417256</v>
      </c>
      <c r="H69" s="106">
        <f t="shared" si="8"/>
        <v>0.39790907886785654</v>
      </c>
      <c r="I69" s="106">
        <f t="shared" si="8"/>
        <v>0.44980578693516415</v>
      </c>
      <c r="J69" s="106">
        <f t="shared" si="8"/>
        <v>0.49939760903331365</v>
      </c>
      <c r="K69" s="107">
        <f t="shared" si="8"/>
        <v>0.54651358798010552</v>
      </c>
      <c r="L69" s="83">
        <f t="shared" si="6"/>
        <v>-4.714133722930812E-20</v>
      </c>
      <c r="M69" s="83">
        <f t="shared" si="5"/>
        <v>0.99985740824091796</v>
      </c>
      <c r="N69" s="83">
        <f t="shared" si="7"/>
        <v>2.3463085867430717E-3</v>
      </c>
    </row>
    <row r="70" spans="1:14">
      <c r="A70" s="81">
        <f t="shared" si="3"/>
        <v>5</v>
      </c>
      <c r="B70" s="81">
        <f t="shared" si="4"/>
        <v>152</v>
      </c>
      <c r="C70" s="82">
        <f t="shared" si="0"/>
        <v>12.328747158133016</v>
      </c>
      <c r="D70" s="83">
        <f t="shared" si="1"/>
        <v>0.16735700527206343</v>
      </c>
      <c r="E70" s="105">
        <f t="shared" si="8"/>
        <v>0.22462946931323446</v>
      </c>
      <c r="F70" s="106">
        <f t="shared" si="8"/>
        <v>0.28070505863108375</v>
      </c>
      <c r="G70" s="106">
        <f t="shared" si="8"/>
        <v>0.33530873457233623</v>
      </c>
      <c r="H70" s="106">
        <f t="shared" si="8"/>
        <v>0.38818855487114412</v>
      </c>
      <c r="I70" s="106">
        <f t="shared" si="8"/>
        <v>0.43911907560173535</v>
      </c>
      <c r="J70" s="106">
        <f t="shared" si="8"/>
        <v>0.48790407662058244</v>
      </c>
      <c r="K70" s="107">
        <f t="shared" si="8"/>
        <v>0.5343785605686131</v>
      </c>
      <c r="L70" s="83">
        <f t="shared" si="6"/>
        <v>-1.9100672900084664E-21</v>
      </c>
      <c r="M70" s="83">
        <f t="shared" si="5"/>
        <v>0.9997862455338844</v>
      </c>
      <c r="N70" s="83">
        <f t="shared" si="7"/>
        <v>1.6760825901565607E-3</v>
      </c>
    </row>
    <row r="71" spans="1:14">
      <c r="A71" s="81">
        <f t="shared" si="3"/>
        <v>5</v>
      </c>
      <c r="B71" s="81">
        <f t="shared" si="4"/>
        <v>160</v>
      </c>
      <c r="C71" s="82">
        <f t="shared" si="0"/>
        <v>12.649031839993642</v>
      </c>
      <c r="D71" s="83">
        <f t="shared" si="1"/>
        <v>0.16317973643371531</v>
      </c>
      <c r="E71" s="105">
        <f t="shared" ref="E71:K80" si="9">IF($C71&gt;0,$C$9*(EXP(-$C$12*$B71/$C$14)-EXP(-$C$12*$A71/$C$16)*EXP(-$C$12*$C71^2/$C$14)*2*NORMSDIST(-($C$13*$A71/$C$16/$C$36+$C$38*E$50)/(2*$C71)*SQRT(2))),$C$9*EXP(-$C$12*$B71/$C$14))</f>
        <v>0.21908870459629792</v>
      </c>
      <c r="F71" s="106">
        <f t="shared" si="9"/>
        <v>0.27388710269227445</v>
      </c>
      <c r="G71" s="106">
        <f t="shared" si="9"/>
        <v>0.32731809649059818</v>
      </c>
      <c r="H71" s="106">
        <f t="shared" si="9"/>
        <v>0.37914528425099636</v>
      </c>
      <c r="I71" s="106">
        <f t="shared" si="9"/>
        <v>0.42915576606306094</v>
      </c>
      <c r="J71" s="106">
        <f t="shared" si="9"/>
        <v>0.47716264104373862</v>
      </c>
      <c r="K71" s="107">
        <f t="shared" si="9"/>
        <v>0.52300688733129519</v>
      </c>
      <c r="L71" s="83">
        <f t="shared" si="6"/>
        <v>-7.6791880488146693E-23</v>
      </c>
      <c r="M71" s="83">
        <f t="shared" si="5"/>
        <v>0.99969195529437238</v>
      </c>
      <c r="N71" s="83">
        <f t="shared" si="7"/>
        <v>1.1973074918186582E-3</v>
      </c>
    </row>
    <row r="72" spans="1:14">
      <c r="A72" s="81">
        <f t="shared" si="3"/>
        <v>5</v>
      </c>
      <c r="B72" s="81">
        <f t="shared" si="4"/>
        <v>168</v>
      </c>
      <c r="C72" s="82">
        <f t="shared" si="0"/>
        <v>12.961404495237888</v>
      </c>
      <c r="D72" s="83">
        <f t="shared" si="1"/>
        <v>0.15930039740667734</v>
      </c>
      <c r="E72" s="105">
        <f t="shared" si="9"/>
        <v>0.21393861048432528</v>
      </c>
      <c r="F72" s="106">
        <f t="shared" si="9"/>
        <v>0.26754266507410485</v>
      </c>
      <c r="G72" s="106">
        <f t="shared" si="9"/>
        <v>0.3198720247302802</v>
      </c>
      <c r="H72" s="106">
        <f t="shared" si="9"/>
        <v>0.37070433241519418</v>
      </c>
      <c r="I72" s="106">
        <f t="shared" si="9"/>
        <v>0.4198381895080272</v>
      </c>
      <c r="J72" s="106">
        <f t="shared" si="9"/>
        <v>0.46709544724997598</v>
      </c>
      <c r="K72" s="107">
        <f t="shared" si="9"/>
        <v>0.51232297004457017</v>
      </c>
      <c r="L72" s="83">
        <f t="shared" si="6"/>
        <v>-3.0669661804725586E-24</v>
      </c>
      <c r="M72" s="83">
        <f t="shared" si="5"/>
        <v>0.99957084858678136</v>
      </c>
      <c r="N72" s="83">
        <f t="shared" si="7"/>
        <v>8.5529510203383261E-4</v>
      </c>
    </row>
    <row r="73" spans="1:14">
      <c r="A73" s="81">
        <f t="shared" si="3"/>
        <v>5</v>
      </c>
      <c r="B73" s="81">
        <f t="shared" si="4"/>
        <v>176</v>
      </c>
      <c r="C73" s="82">
        <f t="shared" si="0"/>
        <v>13.266424027942605</v>
      </c>
      <c r="D73" s="83">
        <f t="shared" si="1"/>
        <v>0.15568518035743084</v>
      </c>
      <c r="E73" s="105">
        <f t="shared" si="9"/>
        <v>0.20913534555176305</v>
      </c>
      <c r="F73" s="106">
        <f t="shared" si="9"/>
        <v>0.26161938833504594</v>
      </c>
      <c r="G73" s="106">
        <f t="shared" si="9"/>
        <v>0.31291142916094761</v>
      </c>
      <c r="H73" s="106">
        <f t="shared" si="9"/>
        <v>0.36280184767065071</v>
      </c>
      <c r="I73" s="106">
        <f t="shared" si="9"/>
        <v>0.41109980730667339</v>
      </c>
      <c r="J73" s="106">
        <f t="shared" si="9"/>
        <v>0.45763536154355489</v>
      </c>
      <c r="K73" s="107">
        <f t="shared" si="9"/>
        <v>0.50226110521475098</v>
      </c>
      <c r="L73" s="83">
        <f t="shared" si="6"/>
        <v>-1.2179870522169798E-25</v>
      </c>
      <c r="M73" s="83">
        <f t="shared" si="5"/>
        <v>0.99941938480830572</v>
      </c>
      <c r="N73" s="83">
        <f t="shared" si="7"/>
        <v>6.1097898122386396E-4</v>
      </c>
    </row>
    <row r="74" spans="1:14">
      <c r="A74" s="81">
        <f t="shared" si="3"/>
        <v>5</v>
      </c>
      <c r="B74" s="81">
        <f t="shared" si="4"/>
        <v>184</v>
      </c>
      <c r="C74" s="82">
        <f t="shared" si="0"/>
        <v>13.564586484267513</v>
      </c>
      <c r="D74" s="83">
        <f t="shared" si="1"/>
        <v>0.15230541524047836</v>
      </c>
      <c r="E74" s="105">
        <f t="shared" si="9"/>
        <v>0.2046416593967002</v>
      </c>
      <c r="F74" s="106">
        <f t="shared" si="9"/>
        <v>0.25607267263898614</v>
      </c>
      <c r="G74" s="106">
        <f t="shared" si="9"/>
        <v>0.30638581187867531</v>
      </c>
      <c r="H74" s="106">
        <f t="shared" si="9"/>
        <v>0.3553830452373643</v>
      </c>
      <c r="I74" s="106">
        <f t="shared" si="9"/>
        <v>0.40288325289903959</v>
      </c>
      <c r="J74" s="106">
        <f t="shared" si="9"/>
        <v>0.44872416664938108</v>
      </c>
      <c r="K74" s="107">
        <f t="shared" si="9"/>
        <v>0.49276391522741703</v>
      </c>
      <c r="L74" s="83">
        <f t="shared" si="6"/>
        <v>-4.8134426004854672E-27</v>
      </c>
      <c r="M74" s="83">
        <f t="shared" si="5"/>
        <v>0.99923424955757945</v>
      </c>
      <c r="N74" s="83">
        <f t="shared" si="7"/>
        <v>4.3645206737379951E-4</v>
      </c>
    </row>
    <row r="75" spans="1:14">
      <c r="A75" s="81">
        <f t="shared" si="3"/>
        <v>5</v>
      </c>
      <c r="B75" s="81">
        <f t="shared" si="4"/>
        <v>192</v>
      </c>
      <c r="C75" s="82">
        <f t="shared" si="0"/>
        <v>13.856334525738506</v>
      </c>
      <c r="D75" s="83">
        <f t="shared" si="1"/>
        <v>0.14913660768704262</v>
      </c>
      <c r="E75" s="105">
        <f t="shared" si="9"/>
        <v>0.20042567129301836</v>
      </c>
      <c r="F75" s="106">
        <f t="shared" si="9"/>
        <v>0.25086425866565154</v>
      </c>
      <c r="G75" s="106">
        <f t="shared" si="9"/>
        <v>0.30025172685379031</v>
      </c>
      <c r="H75" s="106">
        <f t="shared" si="9"/>
        <v>0.34840062072224764</v>
      </c>
      <c r="I75" s="106">
        <f t="shared" si="9"/>
        <v>0.39513877624596017</v>
      </c>
      <c r="J75" s="106">
        <f t="shared" si="9"/>
        <v>0.44031110994170541</v>
      </c>
      <c r="K75" s="107">
        <f t="shared" si="9"/>
        <v>0.48378106481809935</v>
      </c>
      <c r="L75" s="83">
        <f t="shared" si="6"/>
        <v>-1.8942173083899209E-28</v>
      </c>
      <c r="M75" s="83">
        <f t="shared" si="5"/>
        <v>0.9990124128570621</v>
      </c>
      <c r="N75" s="83">
        <f t="shared" si="7"/>
        <v>3.117789858061705E-4</v>
      </c>
    </row>
    <row r="76" spans="1:14">
      <c r="A76" s="81">
        <f t="shared" si="3"/>
        <v>5</v>
      </c>
      <c r="B76" s="81">
        <f t="shared" si="4"/>
        <v>200</v>
      </c>
      <c r="C76" s="82">
        <f t="shared" si="0"/>
        <v>14.142065142304109</v>
      </c>
      <c r="D76" s="83">
        <f t="shared" si="1"/>
        <v>0.14615768830214293</v>
      </c>
      <c r="E76" s="105">
        <f t="shared" si="9"/>
        <v>0.19645991448167055</v>
      </c>
      <c r="F76" s="106">
        <f t="shared" si="9"/>
        <v>0.24596111441706547</v>
      </c>
      <c r="G76" s="106">
        <f t="shared" si="9"/>
        <v>0.29447156375460048</v>
      </c>
      <c r="H76" s="106">
        <f t="shared" si="9"/>
        <v>0.34181348929421107</v>
      </c>
      <c r="I76" s="106">
        <f t="shared" si="9"/>
        <v>0.38782299722278091</v>
      </c>
      <c r="J76" s="106">
        <f t="shared" si="9"/>
        <v>0.43235172722316384</v>
      </c>
      <c r="K76" s="107">
        <f t="shared" si="9"/>
        <v>0.47526820573792383</v>
      </c>
      <c r="L76" s="83">
        <f t="shared" si="6"/>
        <v>-7.4267682299313072E-30</v>
      </c>
      <c r="M76" s="83">
        <f t="shared" si="5"/>
        <v>0.99875116901191152</v>
      </c>
      <c r="N76" s="83">
        <f t="shared" si="7"/>
        <v>2.2271892667441985E-4</v>
      </c>
    </row>
    <row r="77" spans="1:14">
      <c r="A77" s="81">
        <f t="shared" si="3"/>
        <v>5</v>
      </c>
      <c r="B77" s="81">
        <f t="shared" si="4"/>
        <v>208</v>
      </c>
      <c r="C77" s="82">
        <f t="shared" si="0"/>
        <v>14.422135989137425</v>
      </c>
      <c r="D77" s="83">
        <f t="shared" si="1"/>
        <v>0.1433504205790086</v>
      </c>
      <c r="E77" s="105">
        <f t="shared" si="9"/>
        <v>0.19272058042674445</v>
      </c>
      <c r="F77" s="106">
        <f t="shared" si="9"/>
        <v>0.24133455182542352</v>
      </c>
      <c r="G77" s="106">
        <f t="shared" si="9"/>
        <v>0.28901257838498329</v>
      </c>
      <c r="H77" s="106">
        <f t="shared" si="9"/>
        <v>0.3355857745986206</v>
      </c>
      <c r="I77" s="106">
        <f t="shared" si="9"/>
        <v>0.38089789840274157</v>
      </c>
      <c r="J77" s="106">
        <f t="shared" si="9"/>
        <v>0.42480688311538084</v>
      </c>
      <c r="K77" s="107">
        <f t="shared" si="9"/>
        <v>0.46718610460861187</v>
      </c>
      <c r="L77" s="83">
        <f t="shared" si="6"/>
        <v>-2.9024448253647021E-31</v>
      </c>
      <c r="M77" s="83">
        <f t="shared" si="5"/>
        <v>0.99844816026872474</v>
      </c>
      <c r="N77" s="83">
        <f t="shared" si="7"/>
        <v>1.5909898536216216E-4</v>
      </c>
    </row>
    <row r="78" spans="1:14">
      <c r="A78" s="81">
        <f t="shared" si="3"/>
        <v>5</v>
      </c>
      <c r="B78" s="81">
        <f t="shared" si="4"/>
        <v>216</v>
      </c>
      <c r="C78" s="82">
        <f t="shared" si="0"/>
        <v>14.696870635926986</v>
      </c>
      <c r="D78" s="83">
        <f t="shared" si="1"/>
        <v>0.14069892928775607</v>
      </c>
      <c r="E78" s="105">
        <f t="shared" si="9"/>
        <v>0.18918691540795374</v>
      </c>
      <c r="F78" s="106">
        <f t="shared" si="9"/>
        <v>0.23695951914964608</v>
      </c>
      <c r="G78" s="106">
        <f t="shared" si="9"/>
        <v>0.28384611280066974</v>
      </c>
      <c r="H78" s="106">
        <f t="shared" si="9"/>
        <v>0.32968599112535646</v>
      </c>
      <c r="I78" s="106">
        <f t="shared" si="9"/>
        <v>0.37433000502196179</v>
      </c>
      <c r="J78" s="106">
        <f t="shared" si="9"/>
        <v>0.41764198298005395</v>
      </c>
      <c r="K78" s="107">
        <f t="shared" si="9"/>
        <v>0.45949991848320426</v>
      </c>
      <c r="L78" s="83">
        <f t="shared" si="6"/>
        <v>-1.131070943936536E-32</v>
      </c>
      <c r="M78" s="83">
        <f t="shared" si="5"/>
        <v>0.99810138683003302</v>
      </c>
      <c r="N78" s="83">
        <f t="shared" si="7"/>
        <v>1.1365216024173973E-4</v>
      </c>
    </row>
    <row r="79" spans="1:14">
      <c r="A79" s="81">
        <f t="shared" si="3"/>
        <v>5</v>
      </c>
      <c r="B79" s="81">
        <f t="shared" si="4"/>
        <v>224</v>
      </c>
      <c r="C79" s="82">
        <f t="shared" si="0"/>
        <v>14.966562948425164</v>
      </c>
      <c r="D79" s="83">
        <f t="shared" si="1"/>
        <v>0.1381893214012373</v>
      </c>
      <c r="E79" s="105">
        <f t="shared" si="9"/>
        <v>0.18584073444664062</v>
      </c>
      <c r="F79" s="106">
        <f t="shared" si="9"/>
        <v>0.23281402927904593</v>
      </c>
      <c r="G79" s="106">
        <f t="shared" si="9"/>
        <v>0.27894696279928022</v>
      </c>
      <c r="H79" s="106">
        <f t="shared" si="9"/>
        <v>0.3240863778543801</v>
      </c>
      <c r="I79" s="106">
        <f t="shared" si="9"/>
        <v>0.36808971255380651</v>
      </c>
      <c r="J79" s="106">
        <f t="shared" si="9"/>
        <v>0.41082632163608657</v>
      </c>
      <c r="K79" s="107">
        <f t="shared" si="9"/>
        <v>0.45217859006709515</v>
      </c>
      <c r="L79" s="83">
        <f t="shared" si="6"/>
        <v>-4.396635806640029E-34</v>
      </c>
      <c r="M79" s="83">
        <f t="shared" si="5"/>
        <v>0.99770920584021194</v>
      </c>
      <c r="N79" s="83">
        <f t="shared" si="7"/>
        <v>8.1187277833426303E-5</v>
      </c>
    </row>
    <row r="80" spans="1:14">
      <c r="A80" s="81">
        <f t="shared" si="3"/>
        <v>5</v>
      </c>
      <c r="B80" s="81">
        <f t="shared" si="4"/>
        <v>232</v>
      </c>
      <c r="C80" s="82">
        <f t="shared" si="0"/>
        <v>15.231480771388346</v>
      </c>
      <c r="D80" s="83">
        <f t="shared" si="1"/>
        <v>0.13580937883859923</v>
      </c>
      <c r="E80" s="105">
        <f t="shared" si="9"/>
        <v>0.18266602652467778</v>
      </c>
      <c r="F80" s="106">
        <f t="shared" si="9"/>
        <v>0.22887869414659545</v>
      </c>
      <c r="G80" s="106">
        <f t="shared" si="9"/>
        <v>0.27429286099444594</v>
      </c>
      <c r="H80" s="106">
        <f t="shared" si="9"/>
        <v>0.31876235124392149</v>
      </c>
      <c r="I80" s="106">
        <f t="shared" si="9"/>
        <v>0.36215073162028055</v>
      </c>
      <c r="J80" s="106">
        <f t="shared" si="9"/>
        <v>0.4043325419159769</v>
      </c>
      <c r="K80" s="107">
        <f t="shared" si="9"/>
        <v>0.44519434035495542</v>
      </c>
      <c r="L80" s="83">
        <f t="shared" si="6"/>
        <v>-1.7052125324617952E-35</v>
      </c>
      <c r="M80" s="83">
        <f t="shared" si="5"/>
        <v>0.99727032181069086</v>
      </c>
      <c r="N80" s="83">
        <f t="shared" si="7"/>
        <v>5.7996029886119389E-5</v>
      </c>
    </row>
    <row r="81" spans="1:14">
      <c r="A81" s="81">
        <f t="shared" si="3"/>
        <v>5</v>
      </c>
      <c r="B81" s="81">
        <f t="shared" si="4"/>
        <v>240</v>
      </c>
      <c r="C81" s="82">
        <f t="shared" si="0"/>
        <v>15.491869044410778</v>
      </c>
      <c r="D81" s="83">
        <f t="shared" si="1"/>
        <v>0.13354830748177271</v>
      </c>
      <c r="E81" s="105">
        <f t="shared" ref="E81:K90" si="10">IF($C81&gt;0,$C$9*(EXP(-$C$12*$B81/$C$14)-EXP(-$C$12*$A81/$C$16)*EXP(-$C$12*$C81^2/$C$14)*2*NORMSDIST(-($C$13*$A81/$C$16/$C$36+$C$38*E$50)/(2*$C81)*SQRT(2))),$C$9*EXP(-$C$12*$B81/$C$14))</f>
        <v>0.17964863150335741</v>
      </c>
      <c r="F81" s="106">
        <f t="shared" si="10"/>
        <v>0.2251363427438835</v>
      </c>
      <c r="G81" s="106">
        <f t="shared" si="10"/>
        <v>0.26986405133535607</v>
      </c>
      <c r="H81" s="106">
        <f t="shared" si="10"/>
        <v>0.31369205314428106</v>
      </c>
      <c r="I81" s="106">
        <f t="shared" si="10"/>
        <v>0.35648962687991359</v>
      </c>
      <c r="J81" s="106">
        <f t="shared" si="10"/>
        <v>0.39813618199222645</v>
      </c>
      <c r="K81" s="107">
        <f t="shared" si="10"/>
        <v>0.43852224096703774</v>
      </c>
      <c r="L81" s="83">
        <f t="shared" si="6"/>
        <v>-6.6003897884483579E-37</v>
      </c>
      <c r="M81" s="83">
        <f t="shared" si="5"/>
        <v>0.99678377068987301</v>
      </c>
      <c r="N81" s="83">
        <f t="shared" si="7"/>
        <v>4.1429391061154846E-5</v>
      </c>
    </row>
    <row r="82" spans="1:14">
      <c r="A82" s="81">
        <f t="shared" si="3"/>
        <v>5</v>
      </c>
      <c r="B82" s="81">
        <f t="shared" si="4"/>
        <v>248</v>
      </c>
      <c r="C82" s="82">
        <f t="shared" si="0"/>
        <v>15.747952453864373</v>
      </c>
      <c r="D82" s="83">
        <f t="shared" si="1"/>
        <v>0.13139653067729062</v>
      </c>
      <c r="E82" s="105">
        <f t="shared" si="10"/>
        <v>0.17677597384572463</v>
      </c>
      <c r="F82" s="106">
        <f t="shared" si="10"/>
        <v>0.22157170556290451</v>
      </c>
      <c r="G82" s="106">
        <f t="shared" si="10"/>
        <v>0.26564293656391902</v>
      </c>
      <c r="H82" s="106">
        <f t="shared" si="10"/>
        <v>0.30885597479764493</v>
      </c>
      <c r="I82" s="106">
        <f t="shared" si="10"/>
        <v>0.3510854317164811</v>
      </c>
      <c r="J82" s="106">
        <f t="shared" si="10"/>
        <v>0.39221529489288143</v>
      </c>
      <c r="K82" s="107">
        <f t="shared" si="10"/>
        <v>0.43213985201095162</v>
      </c>
      <c r="L82" s="83">
        <f t="shared" si="6"/>
        <v>-2.5502644289870239E-38</v>
      </c>
      <c r="M82" s="83">
        <f t="shared" si="5"/>
        <v>0.9962488994707317</v>
      </c>
      <c r="N82" s="83">
        <f t="shared" si="7"/>
        <v>2.9595033437088724E-5</v>
      </c>
    </row>
    <row r="83" spans="1:14">
      <c r="A83" s="81">
        <f t="shared" si="3"/>
        <v>5</v>
      </c>
      <c r="B83" s="81">
        <f t="shared" si="4"/>
        <v>256</v>
      </c>
      <c r="C83" s="82">
        <f t="shared" ref="C83:C114" si="11">IF((B83-$C$13/$C$16*A83)&gt;0,SQRT(B83-$C$13/$C$16*A83),0)</f>
        <v>15.999937702665374</v>
      </c>
      <c r="D83" s="83">
        <f t="shared" ref="D83:D114" si="12">IF(C83&gt;0,$C$9*(EXP(-$C$12*$B83/$C$14)-EXP(-$C$12*$A83/$C$16)*EXP(-$C$12*$C83^2/$C$14)*2*NORMSDIST(-$C$13*$A83/$C$16/(2*$C$36*$C83)*SQRT(2))),$C$9*EXP(-$C$12*$B83/$C$14))</f>
        <v>0.12934551819594264</v>
      </c>
      <c r="E83" s="105">
        <f t="shared" si="10"/>
        <v>0.17403684170599631</v>
      </c>
      <c r="F83" s="106">
        <f t="shared" si="10"/>
        <v>0.21817115223506134</v>
      </c>
      <c r="G83" s="106">
        <f t="shared" si="10"/>
        <v>0.26161378429002591</v>
      </c>
      <c r="H83" s="106">
        <f t="shared" si="10"/>
        <v>0.30423664226332203</v>
      </c>
      <c r="I83" s="106">
        <f t="shared" si="10"/>
        <v>0.34591932447676998</v>
      </c>
      <c r="J83" s="106">
        <f t="shared" si="10"/>
        <v>0.38655012707087821</v>
      </c>
      <c r="K83" s="107">
        <f t="shared" si="10"/>
        <v>0.4260269140759041</v>
      </c>
      <c r="L83" s="83">
        <f t="shared" si="6"/>
        <v>-9.8379594501011553E-40</v>
      </c>
      <c r="M83" s="83">
        <f t="shared" si="5"/>
        <v>0.99566534290851361</v>
      </c>
      <c r="N83" s="83">
        <f t="shared" si="7"/>
        <v>2.1141174941468792E-5</v>
      </c>
    </row>
    <row r="84" spans="1:14">
      <c r="A84" s="81">
        <f t="shared" ref="A84:A115" si="13">IF(ISBLANK($C$44),A83+$C$42,$C$44)</f>
        <v>5</v>
      </c>
      <c r="B84" s="81">
        <f t="shared" ref="B84:B115" si="14">IF(ISBLANK($C$43),B83+$C$41,$C$43)</f>
        <v>264</v>
      </c>
      <c r="C84" s="82">
        <f t="shared" si="11"/>
        <v>16.248015463101115</v>
      </c>
      <c r="D84" s="83">
        <f t="shared" si="12"/>
        <v>0.12738764367260136</v>
      </c>
      <c r="E84" s="105">
        <f t="shared" si="10"/>
        <v>0.17142120252642212</v>
      </c>
      <c r="F84" s="106">
        <f t="shared" si="10"/>
        <v>0.21492247208672777</v>
      </c>
      <c r="G84" s="106">
        <f t="shared" si="10"/>
        <v>0.2577624805118286</v>
      </c>
      <c r="H84" s="106">
        <f t="shared" si="10"/>
        <v>0.29981835176825378</v>
      </c>
      <c r="I84" s="106">
        <f t="shared" si="10"/>
        <v>0.3409743550000619</v>
      </c>
      <c r="J84" s="106">
        <f t="shared" si="10"/>
        <v>0.38112284555509235</v>
      </c>
      <c r="K84" s="107">
        <f t="shared" si="10"/>
        <v>0.42016508515799522</v>
      </c>
      <c r="L84" s="83">
        <f t="shared" si="6"/>
        <v>-3.7896456074103264E-41</v>
      </c>
      <c r="M84" s="83">
        <f t="shared" ref="M84:M115" si="15">$C$9*EXP(-$C$12*$B84/$C$14)*(1-0.5*2*NORMSDIST(-($C$14*$A84)/(2*SQRT(($C$11)*$C$14*$B84))*SQRT(2))-0.5*2*NORMSDIST(-($C$14*$A84)/(2*SQRT(($C$11)*$C$14*$B84))*SQRT(2)))</f>
        <v>0.99503299861767669</v>
      </c>
      <c r="N84" s="83">
        <f t="shared" si="7"/>
        <v>1.5102171749725673E-5</v>
      </c>
    </row>
    <row r="85" spans="1:14">
      <c r="A85" s="81">
        <f t="shared" si="13"/>
        <v>5</v>
      </c>
      <c r="B85" s="81">
        <f t="shared" si="14"/>
        <v>272</v>
      </c>
      <c r="C85" s="82">
        <f t="shared" si="11"/>
        <v>16.492362065185596</v>
      </c>
      <c r="D85" s="83">
        <f t="shared" si="12"/>
        <v>0.1255160650863707</v>
      </c>
      <c r="E85" s="105">
        <f t="shared" si="10"/>
        <v>0.168920048219944</v>
      </c>
      <c r="F85" s="106">
        <f t="shared" si="10"/>
        <v>0.21181468955639993</v>
      </c>
      <c r="G85" s="106">
        <f t="shared" si="10"/>
        <v>0.25407632179364148</v>
      </c>
      <c r="H85" s="106">
        <f t="shared" si="10"/>
        <v>0.29558694589377676</v>
      </c>
      <c r="I85" s="106">
        <f t="shared" si="10"/>
        <v>0.33623521248538757</v>
      </c>
      <c r="J85" s="106">
        <f t="shared" si="10"/>
        <v>0.37591730528316192</v>
      </c>
      <c r="K85" s="107">
        <f t="shared" si="10"/>
        <v>0.41453771504974379</v>
      </c>
      <c r="L85" s="83">
        <f t="shared" si="6"/>
        <v>-1.4578973735487129E-42</v>
      </c>
      <c r="M85" s="83">
        <f t="shared" si="15"/>
        <v>0.99435200154479286</v>
      </c>
      <c r="N85" s="83">
        <f t="shared" si="7"/>
        <v>1.078821740937578E-5</v>
      </c>
    </row>
    <row r="86" spans="1:14">
      <c r="A86" s="81">
        <f t="shared" si="13"/>
        <v>5</v>
      </c>
      <c r="B86" s="81">
        <f t="shared" si="14"/>
        <v>280</v>
      </c>
      <c r="C86" s="82">
        <f t="shared" si="11"/>
        <v>16.733140963046147</v>
      </c>
      <c r="D86" s="83">
        <f t="shared" si="12"/>
        <v>0.1237246240058818</v>
      </c>
      <c r="E86" s="105">
        <f t="shared" si="10"/>
        <v>0.16652526448819382</v>
      </c>
      <c r="F86" s="106">
        <f t="shared" si="10"/>
        <v>0.20883790811350811</v>
      </c>
      <c r="G86" s="106">
        <f t="shared" si="10"/>
        <v>0.25054383913883838</v>
      </c>
      <c r="H86" s="106">
        <f t="shared" si="10"/>
        <v>0.2915296233642608</v>
      </c>
      <c r="I86" s="106">
        <f t="shared" si="10"/>
        <v>0.3316880275277807</v>
      </c>
      <c r="J86" s="106">
        <f t="shared" si="10"/>
        <v>0.37091884983888601</v>
      </c>
      <c r="K86" s="107">
        <f t="shared" si="10"/>
        <v>0.40912965110604316</v>
      </c>
      <c r="L86" s="83">
        <f t="shared" si="6"/>
        <v>-5.6020093776206513E-44</v>
      </c>
      <c r="M86" s="83">
        <f t="shared" si="15"/>
        <v>0.99362269857831187</v>
      </c>
      <c r="N86" s="83">
        <f t="shared" si="7"/>
        <v>7.7065495480193145E-6</v>
      </c>
    </row>
    <row r="87" spans="1:14">
      <c r="A87" s="81">
        <f t="shared" si="13"/>
        <v>5</v>
      </c>
      <c r="B87" s="81">
        <f t="shared" si="14"/>
        <v>288</v>
      </c>
      <c r="C87" s="82">
        <f t="shared" si="11"/>
        <v>16.970504013999491</v>
      </c>
      <c r="D87" s="83">
        <f t="shared" si="12"/>
        <v>0.12200776021446424</v>
      </c>
      <c r="E87" s="105">
        <f t="shared" si="10"/>
        <v>0.16422951995096469</v>
      </c>
      <c r="F87" s="106">
        <f t="shared" si="10"/>
        <v>0.20598317762088358</v>
      </c>
      <c r="G87" s="106">
        <f t="shared" si="10"/>
        <v>0.2471546480022464</v>
      </c>
      <c r="H87" s="106">
        <f t="shared" si="10"/>
        <v>0.28763477664092307</v>
      </c>
      <c r="I87" s="106">
        <f t="shared" si="10"/>
        <v>0.32732020254820715</v>
      </c>
      <c r="J87" s="106">
        <f t="shared" si="10"/>
        <v>0.36611414009561805</v>
      </c>
      <c r="K87" s="107">
        <f t="shared" si="10"/>
        <v>0.40392707040017006</v>
      </c>
      <c r="L87" s="83">
        <f t="shared" si="6"/>
        <v>-2.150288419719237E-45</v>
      </c>
      <c r="M87" s="83">
        <f t="shared" si="15"/>
        <v>0.99284562385771569</v>
      </c>
      <c r="N87" s="83">
        <f t="shared" si="7"/>
        <v>5.5051639842242707E-6</v>
      </c>
    </row>
    <row r="88" spans="1:14">
      <c r="A88" s="81">
        <f t="shared" si="13"/>
        <v>5</v>
      </c>
      <c r="B88" s="81">
        <f t="shared" si="14"/>
        <v>296</v>
      </c>
      <c r="C88" s="82">
        <f t="shared" si="11"/>
        <v>17.204592598756093</v>
      </c>
      <c r="D88" s="83">
        <f t="shared" si="12"/>
        <v>0.12036043901556703</v>
      </c>
      <c r="E88" s="105">
        <f t="shared" si="10"/>
        <v>0.16202617163305533</v>
      </c>
      <c r="F88" s="106">
        <f t="shared" si="10"/>
        <v>0.20324238109083481</v>
      </c>
      <c r="G88" s="106">
        <f t="shared" si="10"/>
        <v>0.24389931998001524</v>
      </c>
      <c r="H88" s="106">
        <f t="shared" si="10"/>
        <v>0.2838918526467924</v>
      </c>
      <c r="I88" s="106">
        <f t="shared" si="10"/>
        <v>0.32312026593691767</v>
      </c>
      <c r="J88" s="106">
        <f t="shared" si="10"/>
        <v>0.36149100628058983</v>
      </c>
      <c r="K88" s="107">
        <f t="shared" si="10"/>
        <v>0.39891733416717834</v>
      </c>
      <c r="L88" s="83">
        <f t="shared" si="6"/>
        <v>-8.2457033104529131E-47</v>
      </c>
      <c r="M88" s="83">
        <f t="shared" si="15"/>
        <v>0.99202147518166894</v>
      </c>
      <c r="N88" s="83">
        <f t="shared" si="7"/>
        <v>3.932606973374907E-6</v>
      </c>
    </row>
    <row r="89" spans="1:14">
      <c r="A89" s="81">
        <f t="shared" si="13"/>
        <v>5</v>
      </c>
      <c r="B89" s="81">
        <f t="shared" si="14"/>
        <v>304</v>
      </c>
      <c r="C89" s="82">
        <f t="shared" si="11"/>
        <v>17.4355386062253</v>
      </c>
      <c r="D89" s="83">
        <f t="shared" si="12"/>
        <v>0.11877808905119225</v>
      </c>
      <c r="E89" s="105">
        <f t="shared" si="10"/>
        <v>0.15990918403107002</v>
      </c>
      <c r="F89" s="106">
        <f t="shared" si="10"/>
        <v>0.20060813757104534</v>
      </c>
      <c r="G89" s="106">
        <f t="shared" si="10"/>
        <v>0.24076927257086633</v>
      </c>
      <c r="H89" s="106">
        <f t="shared" si="10"/>
        <v>0.28029123283151192</v>
      </c>
      <c r="I89" s="106">
        <f t="shared" si="10"/>
        <v>0.31907774609612471</v>
      </c>
      <c r="J89" s="106">
        <f t="shared" si="10"/>
        <v>0.35703831978309264</v>
      </c>
      <c r="K89" s="107">
        <f t="shared" si="10"/>
        <v>0.39408886114432629</v>
      </c>
      <c r="L89" s="83">
        <f t="shared" si="6"/>
        <v>-3.159179005370939E-48</v>
      </c>
      <c r="M89" s="83">
        <f t="shared" si="15"/>
        <v>0.99115109178365501</v>
      </c>
      <c r="N89" s="83">
        <f t="shared" si="7"/>
        <v>2.809252849025925E-6</v>
      </c>
    </row>
    <row r="90" spans="1:14">
      <c r="A90" s="81">
        <f t="shared" si="13"/>
        <v>5</v>
      </c>
      <c r="B90" s="81">
        <f t="shared" si="14"/>
        <v>312</v>
      </c>
      <c r="C90" s="82">
        <f t="shared" si="11"/>
        <v>17.663465302402383</v>
      </c>
      <c r="D90" s="83">
        <f t="shared" si="12"/>
        <v>0.11725654888255366</v>
      </c>
      <c r="E90" s="105">
        <f t="shared" si="10"/>
        <v>0.15787305951301889</v>
      </c>
      <c r="F90" s="106">
        <f t="shared" si="10"/>
        <v>0.19807371851416078</v>
      </c>
      <c r="G90" s="106">
        <f t="shared" si="10"/>
        <v>0.23775667407719325</v>
      </c>
      <c r="H90" s="106">
        <f t="shared" si="10"/>
        <v>0.27682412948332602</v>
      </c>
      <c r="I90" s="106">
        <f t="shared" si="10"/>
        <v>0.3151830622571723</v>
      </c>
      <c r="J90" s="106">
        <f t="shared" si="10"/>
        <v>0.35274588167712118</v>
      </c>
      <c r="K90" s="107">
        <f t="shared" si="10"/>
        <v>0.38943101699490978</v>
      </c>
      <c r="L90" s="83">
        <f t="shared" si="6"/>
        <v>-1.2093992646149995E-49</v>
      </c>
      <c r="M90" s="83">
        <f t="shared" si="15"/>
        <v>0.99023543364022037</v>
      </c>
      <c r="N90" s="83">
        <f t="shared" si="7"/>
        <v>2.0067862421012732E-6</v>
      </c>
    </row>
    <row r="91" spans="1:14">
      <c r="A91" s="81">
        <f t="shared" si="13"/>
        <v>5</v>
      </c>
      <c r="B91" s="81">
        <f t="shared" si="14"/>
        <v>320</v>
      </c>
      <c r="C91" s="82">
        <f t="shared" si="11"/>
        <v>17.888488099589996</v>
      </c>
      <c r="D91" s="83">
        <f t="shared" si="12"/>
        <v>0.11579202091019702</v>
      </c>
      <c r="E91" s="105">
        <f t="shared" ref="E91:K100" si="16">IF($C91&gt;0,$C$9*(EXP(-$C$12*$B91/$C$14)-EXP(-$C$12*$A91/$C$16)*EXP(-$C$12*$C91^2/$C$14)*2*NORMSDIST(-($C$13*$A91/$C$16/$C$36+$C$38*E$50)/(2*$C91)*SQRT(2))),$C$9*EXP(-$C$12*$B91/$C$14))</f>
        <v>0.15591277822194916</v>
      </c>
      <c r="F91" s="106">
        <f t="shared" si="16"/>
        <v>0.19563297547340341</v>
      </c>
      <c r="G91" s="106">
        <f t="shared" si="16"/>
        <v>0.23485436124960501</v>
      </c>
      <c r="H91" s="106">
        <f t="shared" si="16"/>
        <v>0.27348249575198236</v>
      </c>
      <c r="I91" s="106">
        <f t="shared" si="16"/>
        <v>0.31142742949911972</v>
      </c>
      <c r="J91" s="106">
        <f t="shared" si="16"/>
        <v>0.34860432545101538</v>
      </c>
      <c r="K91" s="107">
        <f t="shared" si="16"/>
        <v>0.38493401747090061</v>
      </c>
      <c r="L91" s="83">
        <f t="shared" si="6"/>
        <v>-4.6264084246422798E-51</v>
      </c>
      <c r="M91" s="83">
        <f t="shared" si="15"/>
        <v>0.98927556239693981</v>
      </c>
      <c r="N91" s="83">
        <f t="shared" si="7"/>
        <v>1.433545229965086E-6</v>
      </c>
    </row>
    <row r="92" spans="1:14">
      <c r="A92" s="81">
        <f t="shared" si="13"/>
        <v>5</v>
      </c>
      <c r="B92" s="81">
        <f t="shared" si="14"/>
        <v>328</v>
      </c>
      <c r="C92" s="82">
        <f t="shared" si="11"/>
        <v>18.110715239580486</v>
      </c>
      <c r="D92" s="83">
        <f t="shared" si="12"/>
        <v>0.11438103147088552</v>
      </c>
      <c r="E92" s="105">
        <f t="shared" si="16"/>
        <v>0.15402374598708479</v>
      </c>
      <c r="F92" s="106">
        <f t="shared" si="16"/>
        <v>0.19328027735530684</v>
      </c>
      <c r="G92" s="106">
        <f t="shared" si="16"/>
        <v>0.23205576770557879</v>
      </c>
      <c r="H92" s="106">
        <f t="shared" si="16"/>
        <v>0.27025894729198341</v>
      </c>
      <c r="I92" s="106">
        <f t="shared" si="16"/>
        <v>0.30780277583972815</v>
      </c>
      <c r="J92" s="106">
        <f t="shared" si="16"/>
        <v>0.34460503185935254</v>
      </c>
      <c r="K92" s="107">
        <f t="shared" si="16"/>
        <v>0.38058884335285881</v>
      </c>
      <c r="L92" s="83">
        <f t="shared" si="6"/>
        <v>-1.7685764259691175E-52</v>
      </c>
      <c r="M92" s="83">
        <f t="shared" si="15"/>
        <v>0.98827262393669701</v>
      </c>
      <c r="N92" s="83">
        <f t="shared" si="7"/>
        <v>1.0240512333809106E-6</v>
      </c>
    </row>
    <row r="93" spans="1:14">
      <c r="A93" s="81">
        <f t="shared" si="13"/>
        <v>5</v>
      </c>
      <c r="B93" s="81">
        <f t="shared" si="14"/>
        <v>336</v>
      </c>
      <c r="C93" s="82">
        <f t="shared" si="11"/>
        <v>18.330248402276847</v>
      </c>
      <c r="D93" s="83">
        <f t="shared" si="12"/>
        <v>0.11302039615602077</v>
      </c>
      <c r="E93" s="105">
        <f t="shared" si="16"/>
        <v>0.15220174901140404</v>
      </c>
      <c r="F93" s="106">
        <f t="shared" si="16"/>
        <v>0.19101045577189724</v>
      </c>
      <c r="G93" s="106">
        <f t="shared" si="16"/>
        <v>0.22935486149575723</v>
      </c>
      <c r="H93" s="106">
        <f t="shared" si="16"/>
        <v>0.2671466937946847</v>
      </c>
      <c r="I93" s="106">
        <f t="shared" si="16"/>
        <v>0.30430166962919936</v>
      </c>
      <c r="J93" s="106">
        <f t="shared" si="16"/>
        <v>0.34074005415637787</v>
      </c>
      <c r="K93" s="107">
        <f t="shared" si="16"/>
        <v>0.37638716551977991</v>
      </c>
      <c r="L93" s="83">
        <f t="shared" si="6"/>
        <v>-6.7566802879480111E-54</v>
      </c>
      <c r="M93" s="83">
        <f t="shared" si="15"/>
        <v>0.98722783257012003</v>
      </c>
      <c r="N93" s="83">
        <f t="shared" si="7"/>
        <v>7.315297115630642E-7</v>
      </c>
    </row>
    <row r="94" spans="1:14">
      <c r="A94" s="81">
        <f t="shared" si="13"/>
        <v>5</v>
      </c>
      <c r="B94" s="81">
        <f t="shared" si="14"/>
        <v>344</v>
      </c>
      <c r="C94" s="82">
        <f t="shared" si="11"/>
        <v>18.547183249463323</v>
      </c>
      <c r="D94" s="83">
        <f t="shared" si="12"/>
        <v>0.11170718956287207</v>
      </c>
      <c r="E94" s="105">
        <f t="shared" si="16"/>
        <v>0.15044291431791357</v>
      </c>
      <c r="F94" s="106">
        <f t="shared" si="16"/>
        <v>0.18881875728526998</v>
      </c>
      <c r="G94" s="106">
        <f t="shared" si="16"/>
        <v>0.22674609046819327</v>
      </c>
      <c r="H94" s="106">
        <f t="shared" si="16"/>
        <v>0.26413947896851786</v>
      </c>
      <c r="I94" s="106">
        <f t="shared" si="16"/>
        <v>0.30091725576924722</v>
      </c>
      <c r="J94" s="106">
        <f t="shared" si="16"/>
        <v>0.33700205225156621</v>
      </c>
      <c r="K94" s="107">
        <f t="shared" si="16"/>
        <v>0.37232127876027898</v>
      </c>
      <c r="L94" s="83">
        <f t="shared" si="6"/>
        <v>-2.5798490088679843E-55</v>
      </c>
      <c r="M94" s="83">
        <f t="shared" si="15"/>
        <v>0.98614245679599954</v>
      </c>
      <c r="N94" s="83">
        <f t="shared" si="7"/>
        <v>5.225673300863918E-7</v>
      </c>
    </row>
    <row r="95" spans="1:14">
      <c r="A95" s="81">
        <f t="shared" si="13"/>
        <v>5</v>
      </c>
      <c r="B95" s="81">
        <f t="shared" si="14"/>
        <v>352</v>
      </c>
      <c r="C95" s="82">
        <f t="shared" si="11"/>
        <v>18.761609911976446</v>
      </c>
      <c r="D95" s="83">
        <f t="shared" si="12"/>
        <v>0.11043871882422174</v>
      </c>
      <c r="E95" s="105">
        <f t="shared" si="16"/>
        <v>0.14874367510925524</v>
      </c>
      <c r="F95" s="106">
        <f t="shared" si="16"/>
        <v>0.18670080154037882</v>
      </c>
      <c r="G95" s="106">
        <f t="shared" si="16"/>
        <v>0.22422433430544486</v>
      </c>
      <c r="H95" s="106">
        <f t="shared" si="16"/>
        <v>0.26123152776332281</v>
      </c>
      <c r="I95" s="106">
        <f t="shared" si="16"/>
        <v>0.2976431995188924</v>
      </c>
      <c r="J95" s="106">
        <f t="shared" si="16"/>
        <v>0.33338423455893218</v>
      </c>
      <c r="K95" s="107">
        <f t="shared" si="16"/>
        <v>0.36838404315044082</v>
      </c>
      <c r="L95" s="83">
        <f t="shared" si="6"/>
        <v>-9.8452374677533785E-57</v>
      </c>
      <c r="M95" s="83">
        <f t="shared" si="15"/>
        <v>0.9850178065574795</v>
      </c>
      <c r="N95" s="83">
        <f t="shared" si="7"/>
        <v>3.7329531549735068E-7</v>
      </c>
    </row>
    <row r="96" spans="1:14">
      <c r="A96" s="81">
        <f t="shared" si="13"/>
        <v>5</v>
      </c>
      <c r="B96" s="81">
        <f t="shared" si="14"/>
        <v>360</v>
      </c>
      <c r="C96" s="82">
        <f t="shared" si="11"/>
        <v>18.9736134273146</v>
      </c>
      <c r="D96" s="83">
        <f t="shared" si="12"/>
        <v>0.10921250037103403</v>
      </c>
      <c r="E96" s="105">
        <f t="shared" si="16"/>
        <v>0.14710074033530418</v>
      </c>
      <c r="F96" s="106">
        <f t="shared" si="16"/>
        <v>0.18465254444695045</v>
      </c>
      <c r="G96" s="106">
        <f t="shared" si="16"/>
        <v>0.22178486229259597</v>
      </c>
      <c r="H96" s="106">
        <f t="shared" si="16"/>
        <v>0.2584174998283717</v>
      </c>
      <c r="I96" s="106">
        <f t="shared" si="16"/>
        <v>0.29447363684442873</v>
      </c>
      <c r="J96" s="106">
        <f t="shared" si="16"/>
        <v>0.32988030650228639</v>
      </c>
      <c r="K96" s="107">
        <f t="shared" si="16"/>
        <v>0.36456883200120171</v>
      </c>
      <c r="L96" s="83">
        <f t="shared" si="6"/>
        <v>-3.7553190414041127E-58</v>
      </c>
      <c r="M96" s="83">
        <f t="shared" si="15"/>
        <v>0.98385522190563135</v>
      </c>
      <c r="N96" s="83">
        <f t="shared" si="7"/>
        <v>2.6666303947709347E-7</v>
      </c>
    </row>
    <row r="97" spans="1:14">
      <c r="A97" s="81">
        <f t="shared" si="13"/>
        <v>5</v>
      </c>
      <c r="B97" s="81">
        <f t="shared" si="14"/>
        <v>368</v>
      </c>
      <c r="C97" s="82">
        <f t="shared" si="11"/>
        <v>19.183274133712757</v>
      </c>
      <c r="D97" s="83">
        <f t="shared" si="12"/>
        <v>0.10802623947161605</v>
      </c>
      <c r="E97" s="105">
        <f t="shared" si="16"/>
        <v>0.14551106787772006</v>
      </c>
      <c r="F97" s="106">
        <f t="shared" si="16"/>
        <v>0.18267024570642731</v>
      </c>
      <c r="G97" s="106">
        <f t="shared" si="16"/>
        <v>0.21942329602438537</v>
      </c>
      <c r="H97" s="106">
        <f t="shared" si="16"/>
        <v>0.25569244835276272</v>
      </c>
      <c r="I97" s="106">
        <f t="shared" si="16"/>
        <v>0.29140313043267585</v>
      </c>
      <c r="J97" s="106">
        <f t="shared" si="16"/>
        <v>0.32648442479646489</v>
      </c>
      <c r="K97" s="107">
        <f t="shared" si="16"/>
        <v>0.36086948552604303</v>
      </c>
      <c r="L97" s="83">
        <f t="shared" si="6"/>
        <v>-1.4317669038608262E-59</v>
      </c>
      <c r="M97" s="83">
        <f t="shared" si="15"/>
        <v>0.98265606297379837</v>
      </c>
      <c r="N97" s="83">
        <f t="shared" si="7"/>
        <v>1.904904071148636E-7</v>
      </c>
    </row>
    <row r="98" spans="1:14">
      <c r="A98" s="81">
        <f t="shared" si="13"/>
        <v>5</v>
      </c>
      <c r="B98" s="81">
        <f t="shared" si="14"/>
        <v>376</v>
      </c>
      <c r="C98" s="82">
        <f t="shared" si="11"/>
        <v>19.39066802586164</v>
      </c>
      <c r="D98" s="83">
        <f t="shared" si="12"/>
        <v>0.10687781216354031</v>
      </c>
      <c r="E98" s="105">
        <f t="shared" si="16"/>
        <v>0.14397184085417569</v>
      </c>
      <c r="F98" s="106">
        <f t="shared" si="16"/>
        <v>0.18075044009073093</v>
      </c>
      <c r="G98" s="106">
        <f t="shared" si="16"/>
        <v>0.21713557638319347</v>
      </c>
      <c r="H98" s="106">
        <f t="shared" si="16"/>
        <v>0.25305178356816005</v>
      </c>
      <c r="I98" s="106">
        <f t="shared" si="16"/>
        <v>0.28842663062048923</v>
      </c>
      <c r="J98" s="106">
        <f t="shared" si="16"/>
        <v>0.32319115675580035</v>
      </c>
      <c r="K98" s="107">
        <f t="shared" si="16"/>
        <v>0.35728026950340785</v>
      </c>
      <c r="L98" s="83">
        <f t="shared" si="6"/>
        <v>-5.4565390626101031E-61</v>
      </c>
      <c r="M98" s="83">
        <f t="shared" si="15"/>
        <v>0.98142170116241845</v>
      </c>
      <c r="N98" s="83">
        <f t="shared" si="7"/>
        <v>1.3607658291880973E-7</v>
      </c>
    </row>
    <row r="99" spans="1:14">
      <c r="A99" s="81">
        <f t="shared" si="13"/>
        <v>5</v>
      </c>
      <c r="B99" s="81">
        <f t="shared" si="14"/>
        <v>384</v>
      </c>
      <c r="C99" s="82">
        <f t="shared" si="11"/>
        <v>19.595867076737708</v>
      </c>
      <c r="D99" s="83">
        <f t="shared" si="12"/>
        <v>0.10576524925451758</v>
      </c>
      <c r="E99" s="105">
        <f t="shared" si="16"/>
        <v>0.14248044662222847</v>
      </c>
      <c r="F99" s="106">
        <f t="shared" si="16"/>
        <v>0.17888991197116844</v>
      </c>
      <c r="G99" s="106">
        <f t="shared" si="16"/>
        <v>0.21491793422179994</v>
      </c>
      <c r="H99" s="106">
        <f t="shared" si="16"/>
        <v>0.25049124030268688</v>
      </c>
      <c r="I99" s="106">
        <f t="shared" si="16"/>
        <v>0.28553944060480729</v>
      </c>
      <c r="J99" s="106">
        <f t="shared" si="16"/>
        <v>0.31999544399065383</v>
      </c>
      <c r="K99" s="107">
        <f t="shared" si="16"/>
        <v>0.35379583831199346</v>
      </c>
      <c r="L99" s="83">
        <f t="shared" si="6"/>
        <v>-2.0787152999445139E-62</v>
      </c>
      <c r="M99" s="83">
        <f t="shared" si="15"/>
        <v>0.98015351143369234</v>
      </c>
      <c r="N99" s="83">
        <f t="shared" si="7"/>
        <v>9.7206135990324284E-8</v>
      </c>
    </row>
    <row r="100" spans="1:14">
      <c r="A100" s="81">
        <f t="shared" si="13"/>
        <v>5</v>
      </c>
      <c r="B100" s="81">
        <f t="shared" si="14"/>
        <v>392</v>
      </c>
      <c r="C100" s="82">
        <f t="shared" si="11"/>
        <v>19.798939529408461</v>
      </c>
      <c r="D100" s="83">
        <f t="shared" si="12"/>
        <v>0.10468672211794594</v>
      </c>
      <c r="E100" s="105">
        <f t="shared" si="16"/>
        <v>0.14103445812673709</v>
      </c>
      <c r="F100" s="106">
        <f t="shared" si="16"/>
        <v>0.17708567267162034</v>
      </c>
      <c r="G100" s="106">
        <f t="shared" si="16"/>
        <v>0.21276686426964986</v>
      </c>
      <c r="H100" s="106">
        <f t="shared" si="16"/>
        <v>0.24800684906534864</v>
      </c>
      <c r="I100" s="106">
        <f t="shared" si="16"/>
        <v>0.2827371853904046</v>
      </c>
      <c r="J100" s="106">
        <f t="shared" si="16"/>
        <v>0.31689256994460413</v>
      </c>
      <c r="K100" s="107">
        <f t="shared" si="16"/>
        <v>0.35041120180437257</v>
      </c>
      <c r="L100" s="83">
        <f t="shared" si="6"/>
        <v>-7.9162172984431725E-64</v>
      </c>
      <c r="M100" s="83">
        <f t="shared" si="15"/>
        <v>0.97885286561751572</v>
      </c>
      <c r="N100" s="83">
        <f t="shared" si="7"/>
        <v>6.9439081078389597E-8</v>
      </c>
    </row>
    <row r="101" spans="1:14">
      <c r="A101" s="81">
        <f t="shared" si="13"/>
        <v>5</v>
      </c>
      <c r="B101" s="81">
        <f t="shared" si="14"/>
        <v>400</v>
      </c>
      <c r="C101" s="82">
        <f t="shared" si="11"/>
        <v>19.999950162167227</v>
      </c>
      <c r="D101" s="83">
        <f t="shared" si="12"/>
        <v>0.10364053004996787</v>
      </c>
      <c r="E101" s="105">
        <f t="shared" ref="E101:K110" si="17">IF($C101&gt;0,$C$9*(EXP(-$C$12*$B101/$C$14)-EXP(-$C$12*$A101/$C$16)*EXP(-$C$12*$C101^2/$C$14)*2*NORMSDIST(-($C$13*$A101/$C$16/$C$36+$C$38*E$50)/(2*$C101)*SQRT(2))),$C$9*EXP(-$C$12*$B101/$C$14))</f>
        <v>0.13963161728783513</v>
      </c>
      <c r="F101" s="106">
        <f t="shared" si="17"/>
        <v>0.17533494028326801</v>
      </c>
      <c r="G101" s="106">
        <f t="shared" si="17"/>
        <v>0.21067910185207128</v>
      </c>
      <c r="H101" s="106">
        <f t="shared" si="17"/>
        <v>0.24559491021602109</v>
      </c>
      <c r="I101" s="106">
        <f t="shared" si="17"/>
        <v>0.28001578401034433</v>
      </c>
      <c r="J101" s="106">
        <f t="shared" si="17"/>
        <v>0.3138781308020322</v>
      </c>
      <c r="K101" s="107">
        <f t="shared" si="17"/>
        <v>0.34712169555814243</v>
      </c>
      <c r="L101" s="83">
        <f t="shared" si="6"/>
        <v>-3.0136753088557157E-65</v>
      </c>
      <c r="M101" s="83">
        <f t="shared" si="15"/>
        <v>0.97752112663387436</v>
      </c>
      <c r="N101" s="83">
        <f t="shared" si="7"/>
        <v>4.9603720299005597E-8</v>
      </c>
    </row>
    <row r="102" spans="1:14">
      <c r="A102" s="81">
        <f t="shared" si="13"/>
        <v>5</v>
      </c>
      <c r="B102" s="81">
        <f t="shared" si="14"/>
        <v>408</v>
      </c>
      <c r="C102" s="82">
        <f t="shared" si="11"/>
        <v>20.198960529917695</v>
      </c>
      <c r="D102" s="83">
        <f t="shared" si="12"/>
        <v>0.10262508898914602</v>
      </c>
      <c r="E102" s="105">
        <f t="shared" si="17"/>
        <v>0.13826982017079748</v>
      </c>
      <c r="F102" s="106">
        <f t="shared" si="17"/>
        <v>0.17363512163082162</v>
      </c>
      <c r="G102" s="106">
        <f t="shared" si="17"/>
        <v>0.20865160207103783</v>
      </c>
      <c r="H102" s="106">
        <f t="shared" si="17"/>
        <v>0.24325197083947914</v>
      </c>
      <c r="I102" s="106">
        <f t="shared" si="17"/>
        <v>0.27737142461955289</v>
      </c>
      <c r="J102" s="106">
        <f t="shared" si="17"/>
        <v>0.31094800936093447</v>
      </c>
      <c r="K102" s="107">
        <f t="shared" si="17"/>
        <v>0.34392295410624074</v>
      </c>
      <c r="L102" s="83">
        <f t="shared" si="6"/>
        <v>-1.1469419537346036E-66</v>
      </c>
      <c r="M102" s="83">
        <f t="shared" si="15"/>
        <v>0.97615964354174367</v>
      </c>
      <c r="N102" s="83">
        <f t="shared" si="7"/>
        <v>3.5434355254849988E-8</v>
      </c>
    </row>
    <row r="103" spans="1:14">
      <c r="A103" s="81">
        <f t="shared" si="13"/>
        <v>5</v>
      </c>
      <c r="B103" s="81">
        <f t="shared" si="14"/>
        <v>416</v>
      </c>
      <c r="C103" s="82">
        <f t="shared" si="11"/>
        <v>20.396029184357747</v>
      </c>
      <c r="D103" s="83">
        <f t="shared" si="12"/>
        <v>0.10163892142853048</v>
      </c>
      <c r="E103" s="105">
        <f t="shared" si="17"/>
        <v>0.13694710371623664</v>
      </c>
      <c r="F103" s="106">
        <f t="shared" si="17"/>
        <v>0.17198379612440706</v>
      </c>
      <c r="G103" s="106">
        <f t="shared" si="17"/>
        <v>0.20668152114576865</v>
      </c>
      <c r="H103" s="106">
        <f t="shared" si="17"/>
        <v>0.24097480399533433</v>
      </c>
      <c r="I103" s="106">
        <f t="shared" si="17"/>
        <v>0.27480054211713423</v>
      </c>
      <c r="J103" s="106">
        <f t="shared" si="17"/>
        <v>0.30809835152086817</v>
      </c>
      <c r="K103" s="107">
        <f t="shared" si="17"/>
        <v>0.34081088680115545</v>
      </c>
      <c r="L103" s="83">
        <f t="shared" si="6"/>
        <v>-4.3637711371310221E-68</v>
      </c>
      <c r="M103" s="83">
        <f t="shared" si="15"/>
        <v>0.97476974733011845</v>
      </c>
      <c r="N103" s="83">
        <f t="shared" si="7"/>
        <v>2.531248714326949E-8</v>
      </c>
    </row>
    <row r="104" spans="1:14">
      <c r="A104" s="81">
        <f t="shared" si="13"/>
        <v>5</v>
      </c>
      <c r="B104" s="81">
        <f t="shared" si="14"/>
        <v>424</v>
      </c>
      <c r="C104" s="82">
        <f t="shared" si="11"/>
        <v>20.591211875195032</v>
      </c>
      <c r="D104" s="83">
        <f t="shared" si="12"/>
        <v>0.10068064737396565</v>
      </c>
      <c r="E104" s="105">
        <f t="shared" si="17"/>
        <v>0.13566163384026075</v>
      </c>
      <c r="F104" s="106">
        <f t="shared" si="17"/>
        <v>0.17037870126846366</v>
      </c>
      <c r="G104" s="106">
        <f t="shared" si="17"/>
        <v>0.20476619965331699</v>
      </c>
      <c r="H104" s="106">
        <f t="shared" si="17"/>
        <v>0.23876039006083016</v>
      </c>
      <c r="I104" s="106">
        <f t="shared" si="17"/>
        <v>0.27229979799977388</v>
      </c>
      <c r="J104" s="106">
        <f t="shared" si="17"/>
        <v>0.30532554508269616</v>
      </c>
      <c r="K104" s="107">
        <f t="shared" si="17"/>
        <v>0.33778165601296517</v>
      </c>
      <c r="L104" s="83">
        <f t="shared" si="6"/>
        <v>-1.6598414195422073E-69</v>
      </c>
      <c r="M104" s="83">
        <f t="shared" si="15"/>
        <v>0.97335274737271948</v>
      </c>
      <c r="N104" s="83">
        <f t="shared" si="7"/>
        <v>1.8081943378678627E-8</v>
      </c>
    </row>
    <row r="105" spans="1:14">
      <c r="A105" s="81">
        <f t="shared" si="13"/>
        <v>5</v>
      </c>
      <c r="B105" s="81">
        <f t="shared" si="14"/>
        <v>432</v>
      </c>
      <c r="C105" s="82">
        <f t="shared" si="11"/>
        <v>20.784561734354007</v>
      </c>
      <c r="D105" s="83">
        <f t="shared" si="12"/>
        <v>9.974897622277612E-2</v>
      </c>
      <c r="E105" s="105">
        <f t="shared" si="17"/>
        <v>0.13441169474052983</v>
      </c>
      <c r="F105" s="106">
        <f t="shared" si="17"/>
        <v>0.16881771963040459</v>
      </c>
      <c r="G105" s="106">
        <f t="shared" si="17"/>
        <v>0.20290314744471227</v>
      </c>
      <c r="H105" s="106">
        <f t="shared" si="17"/>
        <v>0.23660589992162651</v>
      </c>
      <c r="I105" s="106">
        <f t="shared" si="17"/>
        <v>0.26986606218823694</v>
      </c>
      <c r="J105" s="106">
        <f t="shared" si="17"/>
        <v>0.30262620059662138</v>
      </c>
      <c r="K105" s="107">
        <f t="shared" si="17"/>
        <v>0.33483165739980625</v>
      </c>
      <c r="L105" s="83">
        <f t="shared" si="6"/>
        <v>-6.3119449897916116E-71</v>
      </c>
      <c r="M105" s="83">
        <f t="shared" si="15"/>
        <v>0.97190992847396984</v>
      </c>
      <c r="N105" s="83">
        <f t="shared" si="7"/>
        <v>1.2916813527614086E-8</v>
      </c>
    </row>
    <row r="106" spans="1:14">
      <c r="A106" s="81">
        <f t="shared" si="13"/>
        <v>5</v>
      </c>
      <c r="B106" s="81">
        <f t="shared" si="14"/>
        <v>440</v>
      </c>
      <c r="C106" s="82">
        <f t="shared" si="11"/>
        <v>20.976129444899335</v>
      </c>
      <c r="D106" s="83">
        <f t="shared" si="12"/>
        <v>9.8842699454119609E-2</v>
      </c>
      <c r="E106" s="105">
        <f t="shared" si="17"/>
        <v>0.13319567926640108</v>
      </c>
      <c r="F106" s="106">
        <f t="shared" si="17"/>
        <v>0.16729886709839326</v>
      </c>
      <c r="G106" s="106">
        <f t="shared" si="17"/>
        <v>0.20109003004225556</v>
      </c>
      <c r="H106" s="106">
        <f t="shared" si="17"/>
        <v>0.23450867979817658</v>
      </c>
      <c r="I106" s="106">
        <f t="shared" si="17"/>
        <v>0.26749639660277369</v>
      </c>
      <c r="J106" s="106">
        <f t="shared" si="17"/>
        <v>0.29999713402899753</v>
      </c>
      <c r="K106" s="107">
        <f t="shared" si="17"/>
        <v>0.33195750202247409</v>
      </c>
      <c r="L106" s="83">
        <f t="shared" si="6"/>
        <v>-2.3997115062737065E-72</v>
      </c>
      <c r="M106" s="83">
        <f t="shared" si="15"/>
        <v>0.97044254843984823</v>
      </c>
      <c r="N106" s="83">
        <f t="shared" si="7"/>
        <v>9.2271095099152277E-9</v>
      </c>
    </row>
    <row r="107" spans="1:14">
      <c r="A107" s="81">
        <f t="shared" si="13"/>
        <v>5</v>
      </c>
      <c r="B107" s="81">
        <f t="shared" si="14"/>
        <v>448</v>
      </c>
      <c r="C107" s="82">
        <f t="shared" si="11"/>
        <v>21.165963396197512</v>
      </c>
      <c r="D107" s="83">
        <f t="shared" si="12"/>
        <v>9.7960684036848322E-2</v>
      </c>
      <c r="E107" s="105">
        <f t="shared" si="17"/>
        <v>0.13201208023026267</v>
      </c>
      <c r="F107" s="106">
        <f t="shared" si="17"/>
        <v>0.1658202822802024</v>
      </c>
      <c r="G107" s="106">
        <f t="shared" si="17"/>
        <v>0.1993246563491331</v>
      </c>
      <c r="H107" s="106">
        <f t="shared" si="17"/>
        <v>0.23246623752294959</v>
      </c>
      <c r="I107" s="106">
        <f t="shared" si="17"/>
        <v>0.26518804029209697</v>
      </c>
      <c r="J107" s="106">
        <f t="shared" si="17"/>
        <v>0.29743535104754115</v>
      </c>
      <c r="K107" s="107">
        <f t="shared" si="17"/>
        <v>0.32915600010332868</v>
      </c>
      <c r="L107" s="83">
        <f t="shared" si="6"/>
        <v>-9.1213845282456524E-74</v>
      </c>
      <c r="M107" s="83">
        <f t="shared" si="15"/>
        <v>0.96895183611303581</v>
      </c>
      <c r="N107" s="83">
        <f t="shared" si="7"/>
        <v>6.5913740820019547E-9</v>
      </c>
    </row>
    <row r="108" spans="1:14">
      <c r="A108" s="81">
        <f t="shared" si="13"/>
        <v>5</v>
      </c>
      <c r="B108" s="81">
        <f t="shared" si="14"/>
        <v>456</v>
      </c>
      <c r="C108" s="82">
        <f t="shared" si="11"/>
        <v>21.354109826662711</v>
      </c>
      <c r="D108" s="83">
        <f t="shared" si="12"/>
        <v>9.7101866473102483E-2</v>
      </c>
      <c r="E108" s="105">
        <f t="shared" si="17"/>
        <v>0.13085948255324009</v>
      </c>
      <c r="F108" s="106">
        <f t="shared" si="17"/>
        <v>0.16438021691438798</v>
      </c>
      <c r="G108" s="106">
        <f t="shared" si="17"/>
        <v>0.19760496752433188</v>
      </c>
      <c r="H108" s="106">
        <f t="shared" si="17"/>
        <v>0.23047623010742546</v>
      </c>
      <c r="I108" s="106">
        <f t="shared" si="17"/>
        <v>0.26293839594532975</v>
      </c>
      <c r="J108" s="106">
        <f t="shared" si="17"/>
        <v>0.29493803274957053</v>
      </c>
      <c r="K108" s="107">
        <f t="shared" si="17"/>
        <v>0.32642414625418592</v>
      </c>
      <c r="L108" s="83">
        <f t="shared" si="6"/>
        <v>-3.4663671875527442E-75</v>
      </c>
      <c r="M108" s="83">
        <f t="shared" si="15"/>
        <v>0.96743898981737564</v>
      </c>
      <c r="N108" s="83">
        <f t="shared" si="7"/>
        <v>4.7085397916000701E-9</v>
      </c>
    </row>
    <row r="109" spans="1:14">
      <c r="A109" s="81">
        <f t="shared" si="13"/>
        <v>5</v>
      </c>
      <c r="B109" s="81">
        <f t="shared" si="14"/>
        <v>464</v>
      </c>
      <c r="C109" s="82">
        <f t="shared" si="11"/>
        <v>21.540612955279915</v>
      </c>
      <c r="D109" s="83">
        <f t="shared" si="12"/>
        <v>9.626524740642961E-2</v>
      </c>
      <c r="E109" s="105">
        <f t="shared" si="17"/>
        <v>0.12973655615220903</v>
      </c>
      <c r="F109" s="106">
        <f t="shared" si="17"/>
        <v>0.16297702718149876</v>
      </c>
      <c r="G109" s="106">
        <f t="shared" si="17"/>
        <v>0.19592902689451419</v>
      </c>
      <c r="H109" s="106">
        <f t="shared" si="17"/>
        <v>0.22853645245805332</v>
      </c>
      <c r="I109" s="106">
        <f t="shared" si="17"/>
        <v>0.26074501763755875</v>
      </c>
      <c r="J109" s="106">
        <f t="shared" si="17"/>
        <v>0.29250252267944155</v>
      </c>
      <c r="K109" s="107">
        <f t="shared" si="17"/>
        <v>0.32375910601904168</v>
      </c>
      <c r="L109" s="83">
        <f t="shared" si="6"/>
        <v>-1.3170617477632193E-76</v>
      </c>
      <c r="M109" s="83">
        <f t="shared" si="15"/>
        <v>0.96590517616187865</v>
      </c>
      <c r="N109" s="83">
        <f t="shared" si="7"/>
        <v>3.3635394825516527E-9</v>
      </c>
    </row>
    <row r="110" spans="1:14">
      <c r="A110" s="81">
        <f t="shared" si="13"/>
        <v>5</v>
      </c>
      <c r="B110" s="81">
        <f t="shared" si="14"/>
        <v>472</v>
      </c>
      <c r="C110" s="82">
        <f t="shared" si="11"/>
        <v>21.725515102965289</v>
      </c>
      <c r="D110" s="83">
        <f t="shared" si="12"/>
        <v>9.5449886732268618E-2</v>
      </c>
      <c r="E110" s="105">
        <f t="shared" si="17"/>
        <v>0.12864204948682589</v>
      </c>
      <c r="F110" s="106">
        <f t="shared" si="17"/>
        <v>0.16160916581715856</v>
      </c>
      <c r="G110" s="106">
        <f t="shared" si="17"/>
        <v>0.194295010790553</v>
      </c>
      <c r="H110" s="106">
        <f t="shared" si="17"/>
        <v>0.2266448271178132</v>
      </c>
      <c r="I110" s="106">
        <f t="shared" si="17"/>
        <v>0.25860559967793018</v>
      </c>
      <c r="J110" s="106">
        <f t="shared" si="17"/>
        <v>0.29012631499994157</v>
      </c>
      <c r="K110" s="107">
        <f t="shared" si="17"/>
        <v>0.32115820359581249</v>
      </c>
      <c r="L110" s="83">
        <f t="shared" si="6"/>
        <v>-5.0033485111892483E-78</v>
      </c>
      <c r="M110" s="83">
        <f t="shared" si="15"/>
        <v>0.96435152915947464</v>
      </c>
      <c r="N110" s="83">
        <f t="shared" si="7"/>
        <v>2.4027402021464679E-9</v>
      </c>
    </row>
    <row r="111" spans="1:14">
      <c r="A111" s="81">
        <f t="shared" si="13"/>
        <v>5</v>
      </c>
      <c r="B111" s="81">
        <f t="shared" si="14"/>
        <v>480</v>
      </c>
      <c r="C111" s="82">
        <f t="shared" si="11"/>
        <v>21.90885680470738</v>
      </c>
      <c r="D111" s="83">
        <f t="shared" si="12"/>
        <v>9.4654899156402239E-2</v>
      </c>
      <c r="E111" s="105">
        <f t="shared" ref="E111:K120" si="18">IF($C111&gt;0,$C$9*(EXP(-$C$12*$B111/$C$14)-EXP(-$C$12*$A111/$C$16)*EXP(-$C$12*$C111^2/$C$14)*2*NORMSDIST(-($C$13*$A111/$C$16/$C$36+$C$38*E$50)/(2*$C111)*SQRT(2))),$C$9*EXP(-$C$12*$B111/$C$14))</f>
        <v>0.12757478369539732</v>
      </c>
      <c r="F111" s="106">
        <f t="shared" si="18"/>
        <v>0.16027517494101562</v>
      </c>
      <c r="G111" s="106">
        <f t="shared" si="18"/>
        <v>0.19270120021021975</v>
      </c>
      <c r="H111" s="106">
        <f t="shared" si="18"/>
        <v>0.22479939492504353</v>
      </c>
      <c r="I111" s="106">
        <f t="shared" si="18"/>
        <v>0.25651796644501834</v>
      </c>
      <c r="J111" s="106">
        <f t="shared" si="18"/>
        <v>0.28780704369848897</v>
      </c>
      <c r="K111" s="107">
        <f t="shared" si="18"/>
        <v>0.31861891061715997</v>
      </c>
      <c r="L111" s="83">
        <f t="shared" si="6"/>
        <v>-1.9003925055642815E-79</v>
      </c>
      <c r="M111" s="83">
        <f t="shared" si="15"/>
        <v>0.96277914962022759</v>
      </c>
      <c r="N111" s="83">
        <f t="shared" si="7"/>
        <v>1.7163944436980971E-9</v>
      </c>
    </row>
    <row r="112" spans="1:14">
      <c r="A112" s="81">
        <f t="shared" si="13"/>
        <v>5</v>
      </c>
      <c r="B112" s="81">
        <f t="shared" si="14"/>
        <v>488</v>
      </c>
      <c r="C112" s="82">
        <f t="shared" si="11"/>
        <v>22.090676913330945</v>
      </c>
      <c r="D112" s="83">
        <f t="shared" si="12"/>
        <v>9.3879450153672384E-2</v>
      </c>
      <c r="E112" s="105">
        <f t="shared" si="18"/>
        <v>0.12653364725712768</v>
      </c>
      <c r="F112" s="106">
        <f t="shared" si="18"/>
        <v>0.15897367952601993</v>
      </c>
      <c r="G112" s="106">
        <f t="shared" si="18"/>
        <v>0.19114597322043525</v>
      </c>
      <c r="H112" s="106">
        <f t="shared" si="18"/>
        <v>0.22299830649418562</v>
      </c>
      <c r="I112" s="106">
        <f t="shared" si="18"/>
        <v>0.25448006310787163</v>
      </c>
      <c r="J112" s="106">
        <f t="shared" si="18"/>
        <v>0.28554247272294342</v>
      </c>
      <c r="K112" s="107">
        <f t="shared" si="18"/>
        <v>0.31613883588431602</v>
      </c>
      <c r="L112" s="83">
        <f t="shared" si="6"/>
        <v>-7.2170270481540882E-81</v>
      </c>
      <c r="M112" s="83">
        <f t="shared" si="15"/>
        <v>0.96118910478295527</v>
      </c>
      <c r="N112" s="83">
        <f t="shared" si="7"/>
        <v>1.2261042137331024E-9</v>
      </c>
    </row>
    <row r="113" spans="1:14">
      <c r="A113" s="81">
        <f t="shared" si="13"/>
        <v>5</v>
      </c>
      <c r="B113" s="81">
        <f t="shared" si="14"/>
        <v>496</v>
      </c>
      <c r="C113" s="82">
        <f t="shared" si="11"/>
        <v>22.271012695635843</v>
      </c>
      <c r="D113" s="83">
        <f t="shared" si="12"/>
        <v>9.3122752285012877E-2</v>
      </c>
      <c r="E113" s="105">
        <f t="shared" si="18"/>
        <v>0.12551759112579886</v>
      </c>
      <c r="F113" s="106">
        <f t="shared" si="18"/>
        <v>0.15770338144153806</v>
      </c>
      <c r="G113" s="106">
        <f t="shared" si="18"/>
        <v>0.18962779802279495</v>
      </c>
      <c r="H113" s="106">
        <f t="shared" si="18"/>
        <v>0.22123981443435459</v>
      </c>
      <c r="I113" s="106">
        <f t="shared" si="18"/>
        <v>0.25248994714301332</v>
      </c>
      <c r="J113" s="106">
        <f t="shared" si="18"/>
        <v>0.28333048695397189</v>
      </c>
      <c r="K113" s="107">
        <f t="shared" si="18"/>
        <v>0.3137157159598587</v>
      </c>
      <c r="L113" s="83">
        <f t="shared" si="6"/>
        <v>-2.7403752527827022E-82</v>
      </c>
      <c r="M113" s="83">
        <f t="shared" si="15"/>
        <v>0.95958242815304295</v>
      </c>
      <c r="N113" s="83">
        <f t="shared" si="7"/>
        <v>8.758660041423996E-10</v>
      </c>
    </row>
    <row r="114" spans="1:14">
      <c r="A114" s="81">
        <f t="shared" si="13"/>
        <v>5</v>
      </c>
      <c r="B114" s="81">
        <f t="shared" si="14"/>
        <v>504</v>
      </c>
      <c r="C114" s="82">
        <f t="shared" si="11"/>
        <v>22.449899921584795</v>
      </c>
      <c r="D114" s="83">
        <f t="shared" si="12"/>
        <v>9.2384061835849129E-2</v>
      </c>
      <c r="E114" s="105">
        <f t="shared" si="18"/>
        <v>0.12452562428645764</v>
      </c>
      <c r="F114" s="106">
        <f t="shared" si="18"/>
        <v>0.15646305401165783</v>
      </c>
      <c r="G114" s="106">
        <f t="shared" si="18"/>
        <v>0.18814522661501698</v>
      </c>
      <c r="H114" s="106">
        <f t="shared" si="18"/>
        <v>0.21952226623140736</v>
      </c>
      <c r="I114" s="106">
        <f t="shared" si="18"/>
        <v>0.2505457805679927</v>
      </c>
      <c r="J114" s="106">
        <f t="shared" si="18"/>
        <v>0.28116908393147799</v>
      </c>
      <c r="K114" s="107">
        <f t="shared" si="18"/>
        <v>0.31134740653592696</v>
      </c>
      <c r="L114" s="83">
        <f t="shared" si="6"/>
        <v>-1.04040476927733E-83</v>
      </c>
      <c r="M114" s="83">
        <f t="shared" si="15"/>
        <v>0.95796011951773052</v>
      </c>
      <c r="N114" s="83">
        <f t="shared" si="7"/>
        <v>6.2567377929211006E-10</v>
      </c>
    </row>
    <row r="115" spans="1:14">
      <c r="A115" s="81">
        <f t="shared" si="13"/>
        <v>5</v>
      </c>
      <c r="B115" s="81">
        <f t="shared" si="14"/>
        <v>512</v>
      </c>
      <c r="C115" s="82">
        <f t="shared" ref="C115:C131" si="19">IF((B115-$C$13/$C$16*A115)&gt;0,SQRT(B115-$C$13/$C$16*A115),0)</f>
        <v>22.627372947144636</v>
      </c>
      <c r="D115" s="83">
        <f t="shared" ref="D115:D131" si="20">IF(C115&gt;0,$C$9*(EXP(-$C$12*$B115/$C$14)-EXP(-$C$12*$A115/$C$16)*EXP(-$C$12*$C115^2/$C$14)*2*NORMSDIST(-$C$13*$A115/$C$16/(2*$C$36*$C115)*SQRT(2))),$C$9*EXP(-$C$12*$B115/$C$14))</f>
        <v>9.1662675743244382E-2</v>
      </c>
      <c r="E115" s="105">
        <f t="shared" si="18"/>
        <v>0.12355680969232963</v>
      </c>
      <c r="F115" s="106">
        <f t="shared" si="18"/>
        <v>0.15525153703684547</v>
      </c>
      <c r="G115" s="106">
        <f t="shared" si="18"/>
        <v>0.18669688898873105</v>
      </c>
      <c r="H115" s="106">
        <f t="shared" si="18"/>
        <v>0.2178440977276912</v>
      </c>
      <c r="I115" s="106">
        <f t="shared" si="18"/>
        <v>0.24864582282107262</v>
      </c>
      <c r="J115" s="106">
        <f t="shared" si="18"/>
        <v>0.27905636626185037</v>
      </c>
      <c r="K115" s="107">
        <f t="shared" si="18"/>
        <v>0.30903187450357916</v>
      </c>
      <c r="L115" s="83">
        <f t="shared" si="6"/>
        <v>-3.9494704281626529E-85</v>
      </c>
      <c r="M115" s="83">
        <f t="shared" si="15"/>
        <v>0.95632314511337357</v>
      </c>
      <c r="N115" s="83">
        <f t="shared" si="7"/>
        <v>4.4694927790578801E-10</v>
      </c>
    </row>
    <row r="116" spans="1:14">
      <c r="A116" s="81">
        <f t="shared" ref="A116:A179" si="21">IF(ISBLANK($C$44),A115+$C$42,$C$44)</f>
        <v>5</v>
      </c>
      <c r="B116" s="81">
        <f t="shared" ref="B116:B179" si="22">IF(ISBLANK($C$43),B115+$C$41,$C$43)</f>
        <v>520</v>
      </c>
      <c r="C116" s="82">
        <f t="shared" si="19"/>
        <v>22.80346479132443</v>
      </c>
      <c r="D116" s="83">
        <f t="shared" si="20"/>
        <v>9.0957928782930075E-2</v>
      </c>
      <c r="E116" s="105">
        <f t="shared" si="18"/>
        <v>0.12261026054409507</v>
      </c>
      <c r="F116" s="106">
        <f t="shared" si="18"/>
        <v>0.15406773223303638</v>
      </c>
      <c r="G116" s="106">
        <f t="shared" si="18"/>
        <v>0.18528148781079312</v>
      </c>
      <c r="H116" s="106">
        <f t="shared" si="18"/>
        <v>0.21620382714106934</v>
      </c>
      <c r="I116" s="106">
        <f t="shared" si="18"/>
        <v>0.2467884242245113</v>
      </c>
      <c r="J116" s="106">
        <f t="shared" si="18"/>
        <v>0.27699053464085632</v>
      </c>
      <c r="K116" s="107">
        <f t="shared" si="18"/>
        <v>0.30676719065706637</v>
      </c>
      <c r="L116" s="83">
        <f t="shared" si="6"/>
        <v>-1.4990738349998071E-86</v>
      </c>
      <c r="M116" s="83">
        <f t="shared" ref="M116:M179" si="23">$C$9*EXP(-$C$12*$B116/$C$14)*(1-0.5*2*NORMSDIST(-($C$14*$A116)/(2*SQRT(($C$11)*$C$14*$B116))*SQRT(2))-0.5*2*NORMSDIST(-($C$14*$A116)/(2*SQRT(($C$11)*$C$14*$B116))*SQRT(2)))</f>
        <v>0.95467243792202794</v>
      </c>
      <c r="N116" s="83">
        <f t="shared" si="7"/>
        <v>3.1927765495705889E-10</v>
      </c>
    </row>
    <row r="117" spans="1:14">
      <c r="A117" s="81">
        <f t="shared" si="21"/>
        <v>5</v>
      </c>
      <c r="B117" s="81">
        <f t="shared" si="22"/>
        <v>528</v>
      </c>
      <c r="C117" s="82">
        <f t="shared" si="19"/>
        <v>22.978207207899683</v>
      </c>
      <c r="D117" s="83">
        <f t="shared" si="20"/>
        <v>9.0269190990636572E-2</v>
      </c>
      <c r="E117" s="105">
        <f t="shared" si="18"/>
        <v>0.12168513687795213</v>
      </c>
      <c r="F117" s="106">
        <f t="shared" si="18"/>
        <v>0.1529105990474231</v>
      </c>
      <c r="G117" s="106">
        <f t="shared" si="18"/>
        <v>0.18389779354122449</v>
      </c>
      <c r="H117" s="106">
        <f t="shared" si="18"/>
        <v>0.21460004957130918</v>
      </c>
      <c r="I117" s="106">
        <f t="shared" si="18"/>
        <v>0.24497201997576501</v>
      </c>
      <c r="J117" s="106">
        <f t="shared" si="18"/>
        <v>0.27496988143409662</v>
      </c>
      <c r="K117" s="107">
        <f t="shared" si="18"/>
        <v>0.30455152297391064</v>
      </c>
      <c r="L117" s="83">
        <f t="shared" ref="L117:L180" si="24">$C$9*EXP(-$C$12*$B117/$C$14)*(1-0.5*2*NORMSDIST(-($C$14*$A117-$C$17*$B117)/(2*SQRT(($C$18*$C$17+$C$11)*$C$14*$B117))*SQRT(2))-0.5*EXP($C$17*$A117/(($C$18*$C$17+$C$11)))*2*NORMSDIST(-($C$14*$A117+$C$17*$B117)/(2*SQRT(($C$18*$C$17+$C$11)*$C$14*$B117))*SQRT(2)))</f>
        <v>-5.689288646753227E-88</v>
      </c>
      <c r="M117" s="83">
        <f t="shared" si="23"/>
        <v>0.95300889807733569</v>
      </c>
      <c r="N117" s="83">
        <f t="shared" ref="N117:N180" si="25">$C$9*EXP(-($C$25/1000/($C$10*$A117)+$C$12)/$C$14*$B117)</f>
        <v>2.2807559155821221E-10</v>
      </c>
    </row>
    <row r="118" spans="1:14">
      <c r="A118" s="81">
        <f t="shared" si="21"/>
        <v>5</v>
      </c>
      <c r="B118" s="81">
        <f t="shared" si="22"/>
        <v>536</v>
      </c>
      <c r="C118" s="82">
        <f t="shared" si="19"/>
        <v>23.15163075226393</v>
      </c>
      <c r="D118" s="83">
        <f t="shared" si="20"/>
        <v>8.9595865295007959E-2</v>
      </c>
      <c r="E118" s="105">
        <f t="shared" si="18"/>
        <v>0.12078064243263054</v>
      </c>
      <c r="F118" s="106">
        <f t="shared" si="18"/>
        <v>0.15177915081471327</v>
      </c>
      <c r="G118" s="106">
        <f t="shared" si="18"/>
        <v>0.18254463994604109</v>
      </c>
      <c r="H118" s="106">
        <f t="shared" si="18"/>
        <v>0.213031431947595</v>
      </c>
      <c r="I118" s="106">
        <f t="shared" si="18"/>
        <v>0.24319512461697834</v>
      </c>
      <c r="J118" s="106">
        <f t="shared" si="18"/>
        <v>0.27299278476316902</v>
      </c>
      <c r="K118" s="107">
        <f t="shared" si="18"/>
        <v>0.30238313041791565</v>
      </c>
      <c r="L118" s="83">
        <f t="shared" si="24"/>
        <v>-2.1589702037543606E-89</v>
      </c>
      <c r="M118" s="83">
        <f t="shared" si="23"/>
        <v>0.95133339336202449</v>
      </c>
      <c r="N118" s="83">
        <f t="shared" si="25"/>
        <v>1.6292551218977358E-10</v>
      </c>
    </row>
    <row r="119" spans="1:14">
      <c r="A119" s="81">
        <f t="shared" si="21"/>
        <v>5</v>
      </c>
      <c r="B119" s="81">
        <f t="shared" si="22"/>
        <v>544</v>
      </c>
      <c r="C119" s="82">
        <f t="shared" si="19"/>
        <v>23.323764843806259</v>
      </c>
      <c r="D119" s="83">
        <f t="shared" si="20"/>
        <v>8.8937385341881114E-2</v>
      </c>
      <c r="E119" s="105">
        <f t="shared" si="18"/>
        <v>0.11989602176879655</v>
      </c>
      <c r="F119" s="106">
        <f t="shared" si="18"/>
        <v>0.15067245122159734</v>
      </c>
      <c r="G119" s="106">
        <f t="shared" si="18"/>
        <v>0.18122091996777767</v>
      </c>
      <c r="H119" s="106">
        <f t="shared" si="18"/>
        <v>0.21149670837592005</v>
      </c>
      <c r="I119" s="106">
        <f t="shared" si="18"/>
        <v>0.24145632693843577</v>
      </c>
      <c r="J119" s="106">
        <f t="shared" si="18"/>
        <v>0.27105770305115962</v>
      </c>
      <c r="K119" s="107">
        <f t="shared" si="18"/>
        <v>0.30026035721775934</v>
      </c>
      <c r="L119" s="83">
        <f t="shared" si="24"/>
        <v>-8.1920353763799032E-91</v>
      </c>
      <c r="M119" s="83">
        <f t="shared" si="23"/>
        <v>0.94964675978142732</v>
      </c>
      <c r="N119" s="83">
        <f t="shared" si="25"/>
        <v>1.1638563487195866E-10</v>
      </c>
    </row>
    <row r="120" spans="1:14">
      <c r="A120" s="81">
        <f t="shared" si="21"/>
        <v>5</v>
      </c>
      <c r="B120" s="81">
        <f t="shared" si="22"/>
        <v>552</v>
      </c>
      <c r="C120" s="82">
        <f t="shared" si="19"/>
        <v>23.494637824175388</v>
      </c>
      <c r="D120" s="83">
        <f t="shared" si="20"/>
        <v>8.8293213491914102E-2</v>
      </c>
      <c r="E120" s="105">
        <f t="shared" si="18"/>
        <v>0.1190305576171693</v>
      </c>
      <c r="F120" s="106">
        <f t="shared" si="18"/>
        <v>0.14958961105063939</v>
      </c>
      <c r="G120" s="106">
        <f t="shared" si="18"/>
        <v>0.17992558192049413</v>
      </c>
      <c r="H120" s="106">
        <f t="shared" si="18"/>
        <v>0.20999467584949283</v>
      </c>
      <c r="I120" s="106">
        <f t="shared" si="18"/>
        <v>0.23975428527631437</v>
      </c>
      <c r="J120" s="106">
        <f t="shared" si="18"/>
        <v>0.26916316998592382</v>
      </c>
      <c r="K120" s="107">
        <f t="shared" si="18"/>
        <v>0.29818162757868838</v>
      </c>
      <c r="L120" s="83">
        <f t="shared" si="24"/>
        <v>-3.1081076608186848E-92</v>
      </c>
      <c r="M120" s="83">
        <f t="shared" si="23"/>
        <v>0.94794980219933311</v>
      </c>
      <c r="N120" s="83">
        <f t="shared" si="25"/>
        <v>8.3139932000158867E-11</v>
      </c>
    </row>
    <row r="121" spans="1:14">
      <c r="A121" s="81">
        <f t="shared" si="21"/>
        <v>5</v>
      </c>
      <c r="B121" s="81">
        <f t="shared" si="22"/>
        <v>560</v>
      </c>
      <c r="C121" s="82">
        <f t="shared" si="19"/>
        <v>23.664277011757044</v>
      </c>
      <c r="D121" s="83">
        <f t="shared" si="20"/>
        <v>8.7662838975471225E-2</v>
      </c>
      <c r="E121" s="105">
        <f t="shared" ref="E121:K131" si="26">IF($C121&gt;0,$C$9*(EXP(-$C$12*$B121/$C$14)-EXP(-$C$12*$A121/$C$16)*EXP(-$C$12*$C121^2/$C$14)*2*NORMSDIST(-($C$13*$A121/$C$16/$C$36+$C$38*E$50)/(2*$C121)*SQRT(2))),$C$9*EXP(-$C$12*$B121/$C$14))</f>
        <v>0.11818356843419431</v>
      </c>
      <c r="F121" s="106">
        <f t="shared" si="26"/>
        <v>0.14852978517786464</v>
      </c>
      <c r="G121" s="106">
        <f t="shared" si="26"/>
        <v>0.17865762597956047</v>
      </c>
      <c r="H121" s="106">
        <f t="shared" si="26"/>
        <v>0.20852419028916303</v>
      </c>
      <c r="I121" s="106">
        <f t="shared" si="26"/>
        <v>0.23808772316920357</v>
      </c>
      <c r="J121" s="106">
        <f t="shared" si="26"/>
        <v>0.26730778986388959</v>
      </c>
      <c r="K121" s="107">
        <f t="shared" si="26"/>
        <v>0.29614544078914196</v>
      </c>
      <c r="L121" s="83">
        <f t="shared" si="24"/>
        <v>-1.1791301937905601E-93</v>
      </c>
      <c r="M121" s="83">
        <f t="shared" si="23"/>
        <v>0.94624329502414062</v>
      </c>
      <c r="N121" s="83">
        <f t="shared" si="25"/>
        <v>5.9390905936076704E-11</v>
      </c>
    </row>
    <row r="122" spans="1:14">
      <c r="A122" s="81">
        <f t="shared" si="21"/>
        <v>5</v>
      </c>
      <c r="B122" s="81">
        <f t="shared" si="22"/>
        <v>568</v>
      </c>
      <c r="C122" s="82">
        <f t="shared" si="19"/>
        <v>23.83270875266118</v>
      </c>
      <c r="D122" s="83">
        <f t="shared" si="20"/>
        <v>8.7045776190376234E-2</v>
      </c>
      <c r="E122" s="105">
        <f t="shared" si="26"/>
        <v>0.1173544061463403</v>
      </c>
      <c r="F122" s="106">
        <f t="shared" si="26"/>
        <v>0.14749216980100721</v>
      </c>
      <c r="G122" s="106">
        <f t="shared" si="26"/>
        <v>0.17741610093960691</v>
      </c>
      <c r="H122" s="106">
        <f t="shared" si="26"/>
        <v>0.20708416288427856</v>
      </c>
      <c r="I122" s="106">
        <f t="shared" si="26"/>
        <v>0.23645542534149988</v>
      </c>
      <c r="J122" s="106">
        <f t="shared" si="26"/>
        <v>0.26549023328088861</v>
      </c>
      <c r="K122" s="107">
        <f t="shared" si="26"/>
        <v>0.29415036668796635</v>
      </c>
      <c r="L122" s="83">
        <f t="shared" si="24"/>
        <v>-4.4729206397644319E-95</v>
      </c>
      <c r="M122" s="83">
        <f t="shared" si="23"/>
        <v>0.94452798293480411</v>
      </c>
      <c r="N122" s="83">
        <f t="shared" si="25"/>
        <v>4.2425819014395766E-11</v>
      </c>
    </row>
    <row r="123" spans="1:14">
      <c r="A123" s="81">
        <f t="shared" si="21"/>
        <v>5</v>
      </c>
      <c r="B123" s="81">
        <f t="shared" si="22"/>
        <v>576</v>
      </c>
      <c r="C123" s="82">
        <f t="shared" si="19"/>
        <v>23.999958468488501</v>
      </c>
      <c r="D123" s="83">
        <f t="shared" si="20"/>
        <v>8.6441563129641796E-2</v>
      </c>
      <c r="E123" s="105">
        <f t="shared" si="26"/>
        <v>0.11654245406606178</v>
      </c>
      <c r="F123" s="106">
        <f t="shared" si="26"/>
        <v>0.14647599987777093</v>
      </c>
      <c r="G123" s="106">
        <f t="shared" si="26"/>
        <v>0.17620010121676577</v>
      </c>
      <c r="H123" s="106">
        <f t="shared" si="26"/>
        <v>0.20567355670741083</v>
      </c>
      <c r="I123" s="106">
        <f t="shared" si="26"/>
        <v>0.2348562339850071</v>
      </c>
      <c r="J123" s="106">
        <f t="shared" si="26"/>
        <v>0.26370923313988781</v>
      </c>
      <c r="K123" s="107">
        <f t="shared" si="26"/>
        <v>0.29219504146126862</v>
      </c>
      <c r="L123" s="83">
        <f t="shared" si="24"/>
        <v>-1.6966273453444986E-96</v>
      </c>
      <c r="M123" s="83">
        <f t="shared" si="23"/>
        <v>0.94280458163739733</v>
      </c>
      <c r="N123" s="83">
        <f t="shared" si="25"/>
        <v>3.0306830493200051E-11</v>
      </c>
    </row>
    <row r="124" spans="1:14">
      <c r="A124" s="81">
        <f t="shared" si="21"/>
        <v>5</v>
      </c>
      <c r="B124" s="81">
        <f t="shared" si="22"/>
        <v>584</v>
      </c>
      <c r="C124" s="82">
        <f t="shared" si="19"/>
        <v>24.166050701121456</v>
      </c>
      <c r="D124" s="83">
        <f t="shared" si="20"/>
        <v>8.5849759927605129E-2</v>
      </c>
      <c r="E124" s="105">
        <f t="shared" si="26"/>
        <v>0.11574712496419437</v>
      </c>
      <c r="F124" s="106">
        <f t="shared" si="26"/>
        <v>0.14548054675554689</v>
      </c>
      <c r="G124" s="106">
        <f t="shared" si="26"/>
        <v>0.17500876407374211</v>
      </c>
      <c r="H124" s="106">
        <f t="shared" si="26"/>
        <v>0.20429138357905163</v>
      </c>
      <c r="I124" s="106">
        <f t="shared" si="26"/>
        <v>0.23328904531293904</v>
      </c>
      <c r="J124" s="106">
        <f t="shared" si="26"/>
        <v>0.26196358094845484</v>
      </c>
      <c r="K124" s="107">
        <f t="shared" si="26"/>
        <v>0.29027816374098214</v>
      </c>
      <c r="L124" s="83">
        <f t="shared" si="24"/>
        <v>-6.4350147804786827E-98</v>
      </c>
      <c r="M124" s="83">
        <f t="shared" si="23"/>
        <v>0.94107377864430752</v>
      </c>
      <c r="N124" s="83">
        <f t="shared" si="25"/>
        <v>2.1649646273932715E-11</v>
      </c>
    </row>
    <row r="125" spans="1:14">
      <c r="A125" s="81">
        <f t="shared" si="21"/>
        <v>5</v>
      </c>
      <c r="B125" s="81">
        <f t="shared" si="22"/>
        <v>592</v>
      </c>
      <c r="C125" s="82">
        <f t="shared" si="19"/>
        <v>24.331009154763247</v>
      </c>
      <c r="D125" s="83">
        <f t="shared" si="20"/>
        <v>8.5269947514074795E-2</v>
      </c>
      <c r="E125" s="105">
        <f t="shared" si="26"/>
        <v>0.11496785928509423</v>
      </c>
      <c r="F125" s="106">
        <f t="shared" si="26"/>
        <v>0.14450511597591276</v>
      </c>
      <c r="G125" s="106">
        <f t="shared" si="26"/>
        <v>0.17384126704840819</v>
      </c>
      <c r="H125" s="106">
        <f t="shared" si="26"/>
        <v>0.20293670116076279</v>
      </c>
      <c r="I125" s="106">
        <f t="shared" si="26"/>
        <v>0.23175280636305828</v>
      </c>
      <c r="J125" s="106">
        <f t="shared" si="26"/>
        <v>0.2602521233814552</v>
      </c>
      <c r="K125" s="107">
        <f t="shared" si="26"/>
        <v>0.28839849097990911</v>
      </c>
      <c r="L125" s="83">
        <f t="shared" si="24"/>
        <v>-2.4405196504828898E-99</v>
      </c>
      <c r="M125" s="83">
        <f t="shared" si="23"/>
        <v>0.93933623406913247</v>
      </c>
      <c r="N125" s="83">
        <f t="shared" si="25"/>
        <v>1.5465397607036947E-11</v>
      </c>
    </row>
    <row r="126" spans="1:14">
      <c r="A126" s="81">
        <f t="shared" si="21"/>
        <v>5</v>
      </c>
      <c r="B126" s="81">
        <f t="shared" si="22"/>
        <v>600</v>
      </c>
      <c r="C126" s="82">
        <f t="shared" si="19"/>
        <v>24.49485673542862</v>
      </c>
      <c r="D126" s="83">
        <f t="shared" si="20"/>
        <v>8.4701726367133467E-2</v>
      </c>
      <c r="E126" s="105">
        <f t="shared" si="26"/>
        <v>0.11420412349219444</v>
      </c>
      <c r="F126" s="106">
        <f t="shared" si="26"/>
        <v>0.14354904523887568</v>
      </c>
      <c r="G126" s="106">
        <f t="shared" si="26"/>
        <v>0.1726968255685073</v>
      </c>
      <c r="H126" s="106">
        <f t="shared" si="26"/>
        <v>0.20160861025736532</v>
      </c>
      <c r="I126" s="106">
        <f t="shared" si="26"/>
        <v>0.23024651202895141</v>
      </c>
      <c r="J126" s="106">
        <f t="shared" si="26"/>
        <v>0.25857375908682378</v>
      </c>
      <c r="K126" s="107">
        <f t="shared" si="26"/>
        <v>0.28655483608040533</v>
      </c>
      <c r="L126" s="83">
        <f t="shared" si="24"/>
        <v>-9.2552144501440048E-101</v>
      </c>
      <c r="M126" s="83">
        <f t="shared" si="23"/>
        <v>0.9375925814312942</v>
      </c>
      <c r="N126" s="83">
        <f t="shared" si="25"/>
        <v>1.1047687344052698E-11</v>
      </c>
    </row>
    <row r="127" spans="1:14">
      <c r="A127" s="81">
        <f t="shared" si="21"/>
        <v>5</v>
      </c>
      <c r="B127" s="81">
        <f t="shared" si="22"/>
        <v>608</v>
      </c>
      <c r="C127" s="82">
        <f t="shared" si="19"/>
        <v>24.657615588072844</v>
      </c>
      <c r="D127" s="83">
        <f t="shared" si="20"/>
        <v>8.4144715356157862E-2</v>
      </c>
      <c r="E127" s="105">
        <f t="shared" si="26"/>
        <v>0.11345540853286629</v>
      </c>
      <c r="F127" s="106">
        <f t="shared" si="26"/>
        <v>0.14261170251331112</v>
      </c>
      <c r="G127" s="106">
        <f t="shared" si="26"/>
        <v>0.17157469073676124</v>
      </c>
      <c r="H127" s="106">
        <f t="shared" si="26"/>
        <v>0.20030625231063803</v>
      </c>
      <c r="I127" s="106">
        <f t="shared" si="26"/>
        <v>0.22876920230044928</v>
      </c>
      <c r="J127" s="106">
        <f t="shared" si="26"/>
        <v>0.25692743571437426</v>
      </c>
      <c r="K127" s="107">
        <f t="shared" si="26"/>
        <v>0.28474606425602067</v>
      </c>
      <c r="L127" s="83">
        <f t="shared" si="24"/>
        <v>-3.5096492718610719E-102</v>
      </c>
      <c r="M127" s="83">
        <f t="shared" si="23"/>
        <v>0.9358434284652053</v>
      </c>
      <c r="N127" s="83">
        <f t="shared" si="25"/>
        <v>7.8919015697602773E-12</v>
      </c>
    </row>
    <row r="128" spans="1:14">
      <c r="A128" s="81">
        <f t="shared" si="21"/>
        <v>5</v>
      </c>
      <c r="B128" s="81">
        <f t="shared" si="22"/>
        <v>616</v>
      </c>
      <c r="C128" s="82">
        <f t="shared" si="19"/>
        <v>24.819307131529133</v>
      </c>
      <c r="D128" s="83">
        <f t="shared" si="20"/>
        <v>8.3598550667448812E-2</v>
      </c>
      <c r="E128" s="105">
        <f t="shared" si="26"/>
        <v>0.1127212284125465</v>
      </c>
      <c r="F128" s="106">
        <f t="shared" si="26"/>
        <v>0.14169248428134296</v>
      </c>
      <c r="G128" s="106">
        <f t="shared" si="26"/>
        <v>0.17047414727217891</v>
      </c>
      <c r="H128" s="106">
        <f t="shared" si="26"/>
        <v>0.19902880706866521</v>
      </c>
      <c r="I128" s="106">
        <f t="shared" si="26"/>
        <v>0.22731995969601315</v>
      </c>
      <c r="J128" s="106">
        <f t="shared" si="26"/>
        <v>0.25531214714947748</v>
      </c>
      <c r="K128" s="107">
        <f t="shared" si="26"/>
        <v>0.28297109010732346</v>
      </c>
      <c r="L128" s="83">
        <f t="shared" si="24"/>
        <v>-1.3308084371714921E-103</v>
      </c>
      <c r="M128" s="83">
        <f t="shared" si="23"/>
        <v>0.93408935792956704</v>
      </c>
      <c r="N128" s="83">
        <f t="shared" si="25"/>
        <v>5.6375699680090319E-12</v>
      </c>
    </row>
    <row r="129" spans="1:14">
      <c r="A129" s="81">
        <f t="shared" si="21"/>
        <v>5</v>
      </c>
      <c r="B129" s="81">
        <f t="shared" si="22"/>
        <v>624</v>
      </c>
      <c r="C129" s="82">
        <f t="shared" si="19"/>
        <v>24.979952091410681</v>
      </c>
      <c r="D129" s="83">
        <f t="shared" si="20"/>
        <v>8.3062884805585657E-2</v>
      </c>
      <c r="E129" s="105">
        <f t="shared" si="26"/>
        <v>0.11200111886905928</v>
      </c>
      <c r="F129" s="106">
        <f t="shared" si="26"/>
        <v>0.14079081390559356</v>
      </c>
      <c r="G129" s="106">
        <f t="shared" si="26"/>
        <v>0.16939451159471441</v>
      </c>
      <c r="H129" s="106">
        <f t="shared" si="26"/>
        <v>0.19777549041647213</v>
      </c>
      <c r="I129" s="106">
        <f t="shared" si="26"/>
        <v>0.22589790687149902</v>
      </c>
      <c r="J129" s="106">
        <f t="shared" si="26"/>
        <v>0.25372693093513643</v>
      </c>
      <c r="K129" s="107">
        <f t="shared" si="26"/>
        <v>0.28122887489486859</v>
      </c>
      <c r="L129" s="83">
        <f t="shared" si="24"/>
        <v>-5.0459554941671137E-105</v>
      </c>
      <c r="M129" s="83">
        <f t="shared" si="23"/>
        <v>0.93233092841302256</v>
      </c>
      <c r="N129" s="83">
        <f t="shared" si="25"/>
        <v>4.0271910214869503E-12</v>
      </c>
    </row>
    <row r="130" spans="1:14">
      <c r="A130" s="81">
        <f t="shared" si="21"/>
        <v>5</v>
      </c>
      <c r="B130" s="81">
        <f t="shared" si="22"/>
        <v>632</v>
      </c>
      <c r="C130" s="82">
        <f t="shared" si="19"/>
        <v>25.139570531120313</v>
      </c>
      <c r="D130" s="83">
        <f t="shared" si="20"/>
        <v>8.2537385664278817E-2</v>
      </c>
      <c r="E130" s="105">
        <f t="shared" si="26"/>
        <v>0.11129463613891599</v>
      </c>
      <c r="F130" s="106">
        <f t="shared" si="26"/>
        <v>0.1399061401092645</v>
      </c>
      <c r="G130" s="106">
        <f t="shared" si="26"/>
        <v>0.16833513004162315</v>
      </c>
      <c r="H130" s="106">
        <f t="shared" si="26"/>
        <v>0.19654555235492177</v>
      </c>
      <c r="I130" s="106">
        <f t="shared" si="26"/>
        <v>0.22450220439117041</v>
      </c>
      <c r="J130" s="106">
        <f t="shared" si="26"/>
        <v>0.25217086586748438</v>
      </c>
      <c r="K130" s="107">
        <f t="shared" si="26"/>
        <v>0.27951842399380422</v>
      </c>
      <c r="L130" s="83">
        <f t="shared" si="24"/>
        <v>-1.9131485453301074E-106</v>
      </c>
      <c r="M130" s="83">
        <f t="shared" si="23"/>
        <v>0.93056867513295582</v>
      </c>
      <c r="N130" s="83">
        <f t="shared" si="25"/>
        <v>2.8768188449238357E-12</v>
      </c>
    </row>
    <row r="131" spans="1:14">
      <c r="A131" s="81">
        <f t="shared" si="21"/>
        <v>5</v>
      </c>
      <c r="B131" s="81">
        <f t="shared" si="22"/>
        <v>640</v>
      </c>
      <c r="C131" s="82">
        <f t="shared" si="19"/>
        <v>25.29818188109914</v>
      </c>
      <c r="D131" s="83">
        <f t="shared" si="20"/>
        <v>8.2021735661076844E-2</v>
      </c>
      <c r="E131" s="105">
        <f t="shared" si="26"/>
        <v>0.11060135580814556</v>
      </c>
      <c r="F131" s="106">
        <f t="shared" si="26"/>
        <v>0.13903793555994959</v>
      </c>
      <c r="G131" s="106">
        <f t="shared" si="26"/>
        <v>0.16729537720495302</v>
      </c>
      <c r="H131" s="106">
        <f t="shared" si="26"/>
        <v>0.1953382751160504</v>
      </c>
      <c r="I131" s="106">
        <f t="shared" si="26"/>
        <v>0.2231320486481092</v>
      </c>
      <c r="J131" s="106">
        <f t="shared" si="26"/>
        <v>0.25064306975109929</v>
      </c>
      <c r="K131" s="107">
        <f t="shared" si="26"/>
        <v>0.27783878451600286</v>
      </c>
      <c r="L131" s="83">
        <f t="shared" si="24"/>
        <v>-7.2532501877607135E-108</v>
      </c>
      <c r="M131" s="83">
        <f t="shared" si="23"/>
        <v>0.9288031107247483</v>
      </c>
      <c r="N131" s="83">
        <f t="shared" si="25"/>
        <v>2.0550519263556514E-12</v>
      </c>
    </row>
    <row r="132" spans="1:14">
      <c r="A132" s="81">
        <f t="shared" si="21"/>
        <v>5</v>
      </c>
      <c r="B132" s="81">
        <f t="shared" si="22"/>
        <v>648</v>
      </c>
      <c r="C132" s="82">
        <f t="shared" ref="C132:C195" si="27">IF((B132-$C$13/$C$16*A132)&gt;0,SQRT(B132-$C$13/$C$16*A132),0)</f>
        <v>25.455804966434922</v>
      </c>
      <c r="D132" s="83">
        <f t="shared" ref="D132:D195" si="28">IF(C132&gt;0,$C$9*(EXP(-$C$12*$B132/$C$14)-EXP(-$C$12*$A132/$C$16)*EXP(-$C$12*$C132^2/$C$14)*2*NORMSDIST(-$C$13*$A132/$C$16/(2*$C$36*$C132)*SQRT(2))),$C$9*EXP(-$C$12*$B132/$C$14))</f>
        <v>8.1515630930803606E-2</v>
      </c>
      <c r="E132" s="105">
        <f t="shared" ref="E132:K163" si="29">IF($C132&gt;0,$C$9*(EXP(-$C$12*$B132/$C$14)-EXP(-$C$12*$A132/$C$16)*EXP(-$C$12*$C132^2/$C$14)*2*NORMSDIST(-($C$13*$A132/$C$16/$C$36+$C$38*E$50)/(2*$C132)*SQRT(2))),$C$9*EXP(-$C$12*$B132/$C$14))</f>
        <v>0.10992087174089504</v>
      </c>
      <c r="F132" s="106">
        <f t="shared" si="29"/>
        <v>0.13818569554891802</v>
      </c>
      <c r="G132" s="106">
        <f t="shared" si="29"/>
        <v>0.16627465438056221</v>
      </c>
      <c r="H132" s="106">
        <f t="shared" si="29"/>
        <v>0.19415297140408727</v>
      </c>
      <c r="I132" s="106">
        <f t="shared" si="29"/>
        <v>0.22178666992233431</v>
      </c>
      <c r="J132" s="106">
        <f t="shared" si="29"/>
        <v>0.24914269730173011</v>
      </c>
      <c r="K132" s="107">
        <f t="shared" si="29"/>
        <v>0.27618904308685654</v>
      </c>
      <c r="L132" s="83">
        <f t="shared" si="24"/>
        <v>-2.7497709746688921E-109</v>
      </c>
      <c r="M132" s="83">
        <f t="shared" si="23"/>
        <v>0.92703472601921555</v>
      </c>
      <c r="N132" s="83">
        <f t="shared" si="25"/>
        <v>1.4680237608530701E-12</v>
      </c>
    </row>
    <row r="133" spans="1:14">
      <c r="A133" s="81">
        <f t="shared" si="21"/>
        <v>5</v>
      </c>
      <c r="B133" s="81">
        <f t="shared" si="22"/>
        <v>656</v>
      </c>
      <c r="C133" s="82">
        <f t="shared" si="27"/>
        <v>25.612458032941174</v>
      </c>
      <c r="D133" s="83">
        <f t="shared" si="28"/>
        <v>8.1018780573074212E-2</v>
      </c>
      <c r="E133" s="105">
        <f t="shared" si="29"/>
        <v>0.10925279507965469</v>
      </c>
      <c r="F133" s="106">
        <f t="shared" si="29"/>
        <v>0.13734893675835025</v>
      </c>
      <c r="G133" s="106">
        <f t="shared" si="29"/>
        <v>0.1652723881199325</v>
      </c>
      <c r="H133" s="106">
        <f t="shared" si="29"/>
        <v>0.19298898275237719</v>
      </c>
      <c r="I133" s="106">
        <f t="shared" si="29"/>
        <v>0.22046533056598894</v>
      </c>
      <c r="J133" s="106">
        <f t="shared" si="29"/>
        <v>0.24766893818514335</v>
      </c>
      <c r="K133" s="107">
        <f t="shared" si="29"/>
        <v>0.27456832376499496</v>
      </c>
      <c r="L133" s="83">
        <f t="shared" si="24"/>
        <v>-1.0424168645002611E-110</v>
      </c>
      <c r="M133" s="83">
        <f t="shared" si="23"/>
        <v>0.92526399080637067</v>
      </c>
      <c r="N133" s="83">
        <f t="shared" si="25"/>
        <v>1.0486809285889641E-12</v>
      </c>
    </row>
    <row r="134" spans="1:14">
      <c r="A134" s="81">
        <f t="shared" si="21"/>
        <v>5</v>
      </c>
      <c r="B134" s="81">
        <f t="shared" si="22"/>
        <v>664</v>
      </c>
      <c r="C134" s="82">
        <f t="shared" si="27"/>
        <v>25.768158771809308</v>
      </c>
      <c r="D134" s="83">
        <f t="shared" si="28"/>
        <v>8.0530905949654619E-2</v>
      </c>
      <c r="E134" s="105">
        <f t="shared" si="29"/>
        <v>0.10859675331151841</v>
      </c>
      <c r="F134" s="106">
        <f t="shared" si="29"/>
        <v>0.13652719610969077</v>
      </c>
      <c r="G134" s="106">
        <f t="shared" si="29"/>
        <v>0.16428802887682048</v>
      </c>
      <c r="H134" s="106">
        <f t="shared" si="29"/>
        <v>0.19184567798728258</v>
      </c>
      <c r="I134" s="106">
        <f t="shared" si="29"/>
        <v>0.21916732330588218</v>
      </c>
      <c r="J134" s="106">
        <f t="shared" si="29"/>
        <v>0.24622101518176986</v>
      </c>
      <c r="K134" s="107">
        <f t="shared" si="29"/>
        <v>0.27297578609420148</v>
      </c>
      <c r="L134" s="83">
        <f t="shared" si="24"/>
        <v>-3.9515588127632594E-112</v>
      </c>
      <c r="M134" s="83">
        <f t="shared" si="23"/>
        <v>0.92349135458397669</v>
      </c>
      <c r="N134" s="83">
        <f t="shared" si="25"/>
        <v>7.4912390338093765E-13</v>
      </c>
    </row>
    <row r="135" spans="1:14">
      <c r="A135" s="81">
        <f t="shared" si="21"/>
        <v>5</v>
      </c>
      <c r="B135" s="81">
        <f t="shared" si="22"/>
        <v>672</v>
      </c>
      <c r="C135" s="82">
        <f t="shared" si="27"/>
        <v>25.922924342928074</v>
      </c>
      <c r="D135" s="83">
        <f t="shared" si="28"/>
        <v>8.0051740027810681E-2</v>
      </c>
      <c r="E135" s="105">
        <f t="shared" si="29"/>
        <v>0.1079523893953851</v>
      </c>
      <c r="F135" s="106">
        <f t="shared" si="29"/>
        <v>0.13572002968688279</v>
      </c>
      <c r="G135" s="106">
        <f t="shared" si="29"/>
        <v>0.16332104974149542</v>
      </c>
      <c r="H135" s="106">
        <f t="shared" si="29"/>
        <v>0.19072245179093916</v>
      </c>
      <c r="I135" s="106">
        <f t="shared" si="29"/>
        <v>0.21789196965452917</v>
      </c>
      <c r="J135" s="106">
        <f t="shared" si="29"/>
        <v>0.24479818246773477</v>
      </c>
      <c r="K135" s="107">
        <f t="shared" si="29"/>
        <v>0.27141062327772492</v>
      </c>
      <c r="L135" s="83">
        <f t="shared" si="24"/>
        <v>-1.4978854509740758E-113</v>
      </c>
      <c r="M135" s="83">
        <f t="shared" si="23"/>
        <v>0.92171724728965287</v>
      </c>
      <c r="N135" s="83">
        <f t="shared" si="25"/>
        <v>5.3513571889953989E-13</v>
      </c>
    </row>
    <row r="136" spans="1:14">
      <c r="A136" s="81">
        <f t="shared" si="21"/>
        <v>5</v>
      </c>
      <c r="B136" s="81">
        <f t="shared" si="22"/>
        <v>680</v>
      </c>
      <c r="C136" s="82">
        <f t="shared" si="27"/>
        <v>26.076771396957348</v>
      </c>
      <c r="D136" s="83">
        <f t="shared" si="28"/>
        <v>7.9581026766129437E-2</v>
      </c>
      <c r="E136" s="105">
        <f t="shared" si="29"/>
        <v>0.10731936094545547</v>
      </c>
      <c r="F136" s="106">
        <f t="shared" si="29"/>
        <v>0.13492701172879884</v>
      </c>
      <c r="G136" s="106">
        <f t="shared" si="29"/>
        <v>0.16237094525594276</v>
      </c>
      <c r="H136" s="106">
        <f t="shared" si="29"/>
        <v>0.18961872335542762</v>
      </c>
      <c r="I136" s="106">
        <f t="shared" si="29"/>
        <v>0.21663861842158538</v>
      </c>
      <c r="J136" s="106">
        <f t="shared" si="29"/>
        <v>0.24339972400364984</v>
      </c>
      <c r="K136" s="107">
        <f t="shared" si="29"/>
        <v>0.26987206046600365</v>
      </c>
      <c r="L136" s="83">
        <f t="shared" si="24"/>
        <v>-5.677705273107648E-115</v>
      </c>
      <c r="M136" s="83">
        <f t="shared" si="23"/>
        <v>0.91994208001556554</v>
      </c>
      <c r="N136" s="83">
        <f t="shared" si="25"/>
        <v>3.8227352825037811E-13</v>
      </c>
    </row>
    <row r="137" spans="1:14">
      <c r="A137" s="81">
        <f t="shared" si="21"/>
        <v>5</v>
      </c>
      <c r="B137" s="81">
        <f t="shared" si="22"/>
        <v>688</v>
      </c>
      <c r="C137" s="82">
        <f t="shared" si="27"/>
        <v>26.22971609623659</v>
      </c>
      <c r="D137" s="83">
        <f t="shared" si="28"/>
        <v>7.911852053960633E-2</v>
      </c>
      <c r="E137" s="105">
        <f t="shared" si="29"/>
        <v>0.10669733946678428</v>
      </c>
      <c r="F137" s="106">
        <f t="shared" si="29"/>
        <v>0.13414773368567134</v>
      </c>
      <c r="G137" s="106">
        <f t="shared" si="29"/>
        <v>0.16143723030398283</v>
      </c>
      <c r="H137" s="106">
        <f t="shared" si="29"/>
        <v>0.18853393512157424</v>
      </c>
      <c r="I137" s="106">
        <f t="shared" si="29"/>
        <v>0.21540664431826939</v>
      </c>
      <c r="J137" s="106">
        <f t="shared" si="29"/>
        <v>0.24202495202327823</v>
      </c>
      <c r="K137" s="107">
        <f t="shared" si="29"/>
        <v>0.26835935314958048</v>
      </c>
      <c r="L137" s="83">
        <f t="shared" si="24"/>
        <v>-2.1520486394183956E-116</v>
      </c>
      <c r="M137" s="83">
        <f t="shared" si="23"/>
        <v>0.91816624570495486</v>
      </c>
      <c r="N137" s="83">
        <f t="shared" si="25"/>
        <v>2.7307661447362002E-13</v>
      </c>
    </row>
    <row r="138" spans="1:14">
      <c r="A138" s="81">
        <f t="shared" si="21"/>
        <v>5</v>
      </c>
      <c r="B138" s="81">
        <f t="shared" si="22"/>
        <v>696</v>
      </c>
      <c r="C138" s="82">
        <f t="shared" si="27"/>
        <v>26.381774134602338</v>
      </c>
      <c r="D138" s="83">
        <f t="shared" si="28"/>
        <v>7.8663985601062247E-2</v>
      </c>
      <c r="E138" s="105">
        <f t="shared" si="29"/>
        <v>0.10608600963900883</v>
      </c>
      <c r="F138" s="106">
        <f t="shared" si="29"/>
        <v>0.133381803334778</v>
      </c>
      <c r="G138" s="106">
        <f t="shared" si="29"/>
        <v>0.16051943907077093</v>
      </c>
      <c r="H138" s="106">
        <f t="shared" si="29"/>
        <v>0.18746755159616013</v>
      </c>
      <c r="I138" s="106">
        <f t="shared" si="29"/>
        <v>0.21419544664798651</v>
      </c>
      <c r="J138" s="106">
        <f t="shared" si="29"/>
        <v>0.24067320561484307</v>
      </c>
      <c r="K138" s="107">
        <f t="shared" si="29"/>
        <v>0.26687178564966008</v>
      </c>
      <c r="L138" s="83">
        <f t="shared" si="24"/>
        <v>-8.1567503963142852E-118</v>
      </c>
      <c r="M138" s="83">
        <f t="shared" si="23"/>
        <v>0.91639011982994489</v>
      </c>
      <c r="N138" s="83">
        <f t="shared" si="25"/>
        <v>1.9507193635320819E-13</v>
      </c>
    </row>
    <row r="139" spans="1:14">
      <c r="A139" s="81">
        <f t="shared" si="21"/>
        <v>5</v>
      </c>
      <c r="B139" s="81">
        <f t="shared" si="22"/>
        <v>704</v>
      </c>
      <c r="C139" s="82">
        <f t="shared" si="27"/>
        <v>26.532960756183485</v>
      </c>
      <c r="D139" s="83">
        <f t="shared" si="28"/>
        <v>7.8217195576211207E-2</v>
      </c>
      <c r="E139" s="105">
        <f t="shared" si="29"/>
        <v>0.10548506864470775</v>
      </c>
      <c r="F139" s="106">
        <f t="shared" si="29"/>
        <v>0.13262884395102748</v>
      </c>
      <c r="G139" s="106">
        <f t="shared" si="29"/>
        <v>0.15961712406661088</v>
      </c>
      <c r="H139" s="106">
        <f t="shared" si="29"/>
        <v>0.18641905824184568</v>
      </c>
      <c r="I139" s="106">
        <f t="shared" si="29"/>
        <v>0.21300444807693442</v>
      </c>
      <c r="J139" s="106">
        <f t="shared" si="29"/>
        <v>0.23934384938834108</v>
      </c>
      <c r="K139" s="107">
        <f t="shared" si="29"/>
        <v>0.26540866969937738</v>
      </c>
      <c r="L139" s="83">
        <f t="shared" si="24"/>
        <v>-3.0914976745313184E-119</v>
      </c>
      <c r="M139" s="83">
        <f t="shared" si="23"/>
        <v>0.91461406105025223</v>
      </c>
      <c r="N139" s="83">
        <f t="shared" si="25"/>
        <v>1.393493925722666E-13</v>
      </c>
    </row>
    <row r="140" spans="1:14">
      <c r="A140" s="81">
        <f t="shared" si="21"/>
        <v>5</v>
      </c>
      <c r="B140" s="81">
        <f t="shared" si="22"/>
        <v>712</v>
      </c>
      <c r="C140" s="82">
        <f t="shared" si="27"/>
        <v>26.683290773238088</v>
      </c>
      <c r="D140" s="83">
        <f t="shared" si="28"/>
        <v>7.7777932989920417E-2</v>
      </c>
      <c r="E140" s="105">
        <f t="shared" si="29"/>
        <v>0.10489422553913919</v>
      </c>
      <c r="F140" s="106">
        <f t="shared" si="29"/>
        <v>0.13188849352846921</v>
      </c>
      <c r="G140" s="106">
        <f t="shared" si="29"/>
        <v>0.15872985521043792</v>
      </c>
      <c r="H140" s="106">
        <f t="shared" si="29"/>
        <v>0.18538796043458516</v>
      </c>
      <c r="I140" s="106">
        <f t="shared" si="29"/>
        <v>0.21183309347897739</v>
      </c>
      <c r="J140" s="106">
        <f t="shared" si="29"/>
        <v>0.23803627222277512</v>
      </c>
      <c r="K140" s="107">
        <f t="shared" si="29"/>
        <v>0.26396934310941256</v>
      </c>
      <c r="L140" s="83">
        <f t="shared" si="24"/>
        <v>-1.1716775346855113E-120</v>
      </c>
      <c r="M140" s="83">
        <f t="shared" si="23"/>
        <v>0.91283841185256609</v>
      </c>
      <c r="N140" s="83">
        <f t="shared" si="25"/>
        <v>9.9544063453084096E-14</v>
      </c>
    </row>
    <row r="141" spans="1:14">
      <c r="A141" s="81">
        <f t="shared" si="21"/>
        <v>5</v>
      </c>
      <c r="B141" s="81">
        <f t="shared" si="22"/>
        <v>720</v>
      </c>
      <c r="C141" s="82">
        <f t="shared" si="27"/>
        <v>26.832778583090736</v>
      </c>
      <c r="D141" s="83">
        <f t="shared" si="28"/>
        <v>7.7345988821410527E-2</v>
      </c>
      <c r="E141" s="105">
        <f t="shared" si="29"/>
        <v>0.10431320065838112</v>
      </c>
      <c r="F141" s="106">
        <f t="shared" si="29"/>
        <v>0.13116040404906881</v>
      </c>
      <c r="G141" s="106">
        <f t="shared" si="29"/>
        <v>0.15785721896870575</v>
      </c>
      <c r="H141" s="106">
        <f t="shared" si="29"/>
        <v>0.18437378248373504</v>
      </c>
      <c r="I141" s="106">
        <f t="shared" si="29"/>
        <v>0.21068084884955218</v>
      </c>
      <c r="J141" s="106">
        <f t="shared" si="29"/>
        <v>0.23674988608769931</v>
      </c>
      <c r="K141" s="107">
        <f t="shared" si="29"/>
        <v>0.26255316851209276</v>
      </c>
      <c r="L141" s="83">
        <f t="shared" si="24"/>
        <v>-4.4405363973200321E-122</v>
      </c>
      <c r="M141" s="83">
        <f t="shared" si="23"/>
        <v>0.91106349917047336</v>
      </c>
      <c r="N141" s="83">
        <f t="shared" si="25"/>
        <v>7.1109176623161918E-14</v>
      </c>
    </row>
    <row r="142" spans="1:14">
      <c r="A142" s="81">
        <f t="shared" si="21"/>
        <v>5</v>
      </c>
      <c r="B142" s="81">
        <f t="shared" si="22"/>
        <v>728</v>
      </c>
      <c r="C142" s="82">
        <f t="shared" si="27"/>
        <v>26.981438184225333</v>
      </c>
      <c r="D142" s="83">
        <f t="shared" si="28"/>
        <v>7.6921162086329486E-2</v>
      </c>
      <c r="E142" s="105">
        <f t="shared" si="29"/>
        <v>0.10374172506313539</v>
      </c>
      <c r="F142" s="106">
        <f t="shared" si="29"/>
        <v>0.13044424079539496</v>
      </c>
      <c r="G142" s="106">
        <f t="shared" si="29"/>
        <v>0.15699881754576461</v>
      </c>
      <c r="H142" s="106">
        <f t="shared" si="29"/>
        <v>0.18337606671045226</v>
      </c>
      <c r="I142" s="106">
        <f t="shared" si="29"/>
        <v>0.20954720028377793</v>
      </c>
      <c r="J142" s="106">
        <f t="shared" si="29"/>
        <v>0.23548412493392923</v>
      </c>
      <c r="K142" s="107">
        <f t="shared" si="29"/>
        <v>0.26115953217858356</v>
      </c>
      <c r="L142" s="83">
        <f t="shared" si="24"/>
        <v>-1.682874012518886E-123</v>
      </c>
      <c r="M142" s="83">
        <f t="shared" si="23"/>
        <v>0.90928963498495019</v>
      </c>
      <c r="N142" s="83">
        <f t="shared" si="25"/>
        <v>5.0796750952478571E-14</v>
      </c>
    </row>
    <row r="143" spans="1:14">
      <c r="A143" s="81">
        <f t="shared" si="21"/>
        <v>5</v>
      </c>
      <c r="B143" s="81">
        <f t="shared" si="22"/>
        <v>736</v>
      </c>
      <c r="C143" s="82">
        <f t="shared" si="27"/>
        <v>27.129283191584197</v>
      </c>
      <c r="D143" s="83">
        <f t="shared" si="28"/>
        <v>7.6503259443803762E-2</v>
      </c>
      <c r="E143" s="105">
        <f t="shared" si="29"/>
        <v>0.10317954001568697</v>
      </c>
      <c r="F143" s="106">
        <f t="shared" si="29"/>
        <v>0.12973968170413874</v>
      </c>
      <c r="G143" s="106">
        <f t="shared" si="29"/>
        <v>0.15615426812213062</v>
      </c>
      <c r="H143" s="106">
        <f t="shared" si="29"/>
        <v>0.18239437258032476</v>
      </c>
      <c r="I143" s="106">
        <f t="shared" si="29"/>
        <v>0.2084316530143373</v>
      </c>
      <c r="J143" s="106">
        <f t="shared" si="29"/>
        <v>0.2342384436486713</v>
      </c>
      <c r="K143" s="107">
        <f t="shared" si="29"/>
        <v>0.25978784290420598</v>
      </c>
      <c r="L143" s="83">
        <f t="shared" si="24"/>
        <v>-6.3775997876533991E-125</v>
      </c>
      <c r="M143" s="83">
        <f t="shared" si="23"/>
        <v>0.90751711690548476</v>
      </c>
      <c r="N143" s="83">
        <f t="shared" si="25"/>
        <v>3.6286595202786481E-14</v>
      </c>
    </row>
    <row r="144" spans="1:14">
      <c r="A144" s="81">
        <f t="shared" si="21"/>
        <v>5</v>
      </c>
      <c r="B144" s="81">
        <f t="shared" si="22"/>
        <v>744</v>
      </c>
      <c r="C144" s="82">
        <f t="shared" si="27"/>
        <v>27.276326851120789</v>
      </c>
      <c r="D144" s="83">
        <f t="shared" si="28"/>
        <v>7.6092094826719414E-2</v>
      </c>
      <c r="E144" s="105">
        <f t="shared" si="29"/>
        <v>0.10262639648770522</v>
      </c>
      <c r="F144" s="106">
        <f t="shared" si="29"/>
        <v>0.1290464167576244</v>
      </c>
      <c r="G144" s="106">
        <f t="shared" si="29"/>
        <v>0.15532320213733519</v>
      </c>
      <c r="H144" s="106">
        <f t="shared" si="29"/>
        <v>0.18142827588650734</v>
      </c>
      <c r="I144" s="106">
        <f t="shared" si="29"/>
        <v>0.20733373050503845</v>
      </c>
      <c r="J144" s="106">
        <f t="shared" si="29"/>
        <v>0.23301231707069703</v>
      </c>
      <c r="K144" s="107">
        <f t="shared" si="29"/>
        <v>0.25843753095728417</v>
      </c>
      <c r="L144" s="83">
        <f t="shared" si="24"/>
        <v>-2.4168685254647315E-126</v>
      </c>
      <c r="M144" s="83">
        <f t="shared" si="23"/>
        <v>0.90574622873202104</v>
      </c>
      <c r="N144" s="83">
        <f t="shared" si="25"/>
        <v>2.5921283679003562E-14</v>
      </c>
    </row>
    <row r="145" spans="1:14">
      <c r="A145" s="81">
        <f t="shared" si="21"/>
        <v>5</v>
      </c>
      <c r="B145" s="81">
        <f t="shared" si="22"/>
        <v>752</v>
      </c>
      <c r="C145" s="82">
        <f t="shared" si="27"/>
        <v>27.422582053650107</v>
      </c>
      <c r="D145" s="83">
        <f t="shared" si="28"/>
        <v>7.5687489093628768E-2</v>
      </c>
      <c r="E145" s="105">
        <f t="shared" si="29"/>
        <v>0.1020820546967609</v>
      </c>
      <c r="F145" s="106">
        <f t="shared" si="29"/>
        <v>0.12836414741070401</v>
      </c>
      <c r="G145" s="106">
        <f t="shared" si="29"/>
        <v>0.15450526461430059</v>
      </c>
      <c r="H145" s="106">
        <f t="shared" si="29"/>
        <v>0.18047736797992231</v>
      </c>
      <c r="I145" s="106">
        <f t="shared" si="29"/>
        <v>0.20625297359629347</v>
      </c>
      <c r="J145" s="106">
        <f t="shared" si="29"/>
        <v>0.23180523906152972</v>
      </c>
      <c r="K145" s="107">
        <f t="shared" si="29"/>
        <v>0.25710804708729951</v>
      </c>
      <c r="L145" s="83">
        <f t="shared" si="24"/>
        <v>-9.1588190383295181E-128</v>
      </c>
      <c r="M145" s="83">
        <f t="shared" si="23"/>
        <v>0.90397724099793741</v>
      </c>
      <c r="N145" s="83">
        <f t="shared" si="25"/>
        <v>1.85168364188597E-14</v>
      </c>
    </row>
    <row r="146" spans="1:14">
      <c r="A146" s="81">
        <f t="shared" si="21"/>
        <v>5</v>
      </c>
      <c r="B146" s="81">
        <f t="shared" si="22"/>
        <v>760</v>
      </c>
      <c r="C146" s="82">
        <f t="shared" si="27"/>
        <v>27.568061348037748</v>
      </c>
      <c r="D146" s="83">
        <f t="shared" si="28"/>
        <v>7.5289269700802963E-2</v>
      </c>
      <c r="E146" s="105">
        <f t="shared" si="29"/>
        <v>0.10154628366960194</v>
      </c>
      <c r="F146" s="106">
        <f t="shared" si="29"/>
        <v>0.1276925860506295</v>
      </c>
      <c r="G146" s="106">
        <f t="shared" si="29"/>
        <v>0.15370011352243407</v>
      </c>
      <c r="H146" s="106">
        <f t="shared" si="29"/>
        <v>0.17954125504335172</v>
      </c>
      <c r="I146" s="106">
        <f t="shared" si="29"/>
        <v>0.20518893969903385</v>
      </c>
      <c r="J146" s="106">
        <f t="shared" si="29"/>
        <v>0.23061672162891811</v>
      </c>
      <c r="K146" s="107">
        <f t="shared" si="29"/>
        <v>0.25579886158843346</v>
      </c>
      <c r="L146" s="83">
        <f t="shared" si="24"/>
        <v>-3.4707007773499776E-129</v>
      </c>
      <c r="M146" s="83">
        <f t="shared" si="23"/>
        <v>0.90221041149436298</v>
      </c>
      <c r="N146" s="83">
        <f t="shared" si="25"/>
        <v>1.3227478824304434E-14</v>
      </c>
    </row>
    <row r="147" spans="1:14">
      <c r="A147" s="81">
        <f t="shared" si="21"/>
        <v>5</v>
      </c>
      <c r="B147" s="81">
        <f t="shared" si="22"/>
        <v>768</v>
      </c>
      <c r="C147" s="82">
        <f t="shared" si="27"/>
        <v>27.7127769537658</v>
      </c>
      <c r="D147" s="83">
        <f t="shared" si="28"/>
        <v>7.4897270393066817E-2</v>
      </c>
      <c r="E147" s="105">
        <f t="shared" si="29"/>
        <v>0.10101886083037837</v>
      </c>
      <c r="F147" s="106">
        <f t="shared" si="29"/>
        <v>0.12703145548768124</v>
      </c>
      <c r="G147" s="106">
        <f t="shared" si="29"/>
        <v>0.15290741917684203</v>
      </c>
      <c r="H147" s="106">
        <f t="shared" si="29"/>
        <v>0.17861955740649971</v>
      </c>
      <c r="I147" s="106">
        <f t="shared" si="29"/>
        <v>0.20414120203385222</v>
      </c>
      <c r="J147" s="106">
        <f t="shared" si="29"/>
        <v>0.22944629409915374</v>
      </c>
      <c r="K147" s="107">
        <f t="shared" si="29"/>
        <v>0.254509463414887</v>
      </c>
      <c r="L147" s="83">
        <f t="shared" si="24"/>
        <v>-1.3151843604964152E-130</v>
      </c>
      <c r="M147" s="83">
        <f t="shared" si="23"/>
        <v>0.90044598577615886</v>
      </c>
      <c r="N147" s="83">
        <f t="shared" si="25"/>
        <v>9.4490328741694177E-15</v>
      </c>
    </row>
    <row r="148" spans="1:14">
      <c r="A148" s="81">
        <f t="shared" si="21"/>
        <v>5</v>
      </c>
      <c r="B148" s="81">
        <f t="shared" si="22"/>
        <v>776</v>
      </c>
      <c r="C148" s="82">
        <f t="shared" si="27"/>
        <v>27.856740772911191</v>
      </c>
      <c r="D148" s="83">
        <f t="shared" si="28"/>
        <v>7.4511330912158336E-2</v>
      </c>
      <c r="E148" s="105">
        <f t="shared" si="29"/>
        <v>0.10049957161214995</v>
      </c>
      <c r="F148" s="106">
        <f t="shared" si="29"/>
        <v>0.12638048847450678</v>
      </c>
      <c r="G148" s="106">
        <f t="shared" si="29"/>
        <v>0.15212686367127071</v>
      </c>
      <c r="H148" s="106">
        <f t="shared" si="29"/>
        <v>0.17771190889931376</v>
      </c>
      <c r="I148" s="106">
        <f t="shared" si="29"/>
        <v>0.20310934891240384</v>
      </c>
      <c r="J148" s="106">
        <f t="shared" si="29"/>
        <v>0.22829350233505141</v>
      </c>
      <c r="K148" s="107">
        <f t="shared" si="29"/>
        <v>0.25323935934462627</v>
      </c>
      <c r="L148" s="83">
        <f t="shared" si="24"/>
        <v>-4.9836595316737394E-132</v>
      </c>
      <c r="M148" s="83">
        <f t="shared" si="23"/>
        <v>0.89868419764992735</v>
      </c>
      <c r="N148" s="83">
        <f t="shared" si="25"/>
        <v>6.749904758349069E-15</v>
      </c>
    </row>
    <row r="149" spans="1:14">
      <c r="A149" s="81">
        <f t="shared" si="21"/>
        <v>5</v>
      </c>
      <c r="B149" s="81">
        <f t="shared" si="22"/>
        <v>784</v>
      </c>
      <c r="C149" s="82">
        <f t="shared" si="27"/>
        <v>27.999964401569745</v>
      </c>
      <c r="D149" s="83">
        <f t="shared" si="28"/>
        <v>7.413129672144958E-2</v>
      </c>
      <c r="E149" s="105">
        <f t="shared" si="29"/>
        <v>9.9988209090139613E-2</v>
      </c>
      <c r="F149" s="106">
        <f t="shared" si="29"/>
        <v>0.12573942725227583</v>
      </c>
      <c r="G149" s="106">
        <f t="shared" si="29"/>
        <v>0.15135814034255546</v>
      </c>
      <c r="H149" s="106">
        <f t="shared" si="29"/>
        <v>0.17681795624107055</v>
      </c>
      <c r="I149" s="106">
        <f t="shared" si="29"/>
        <v>0.20209298305832024</v>
      </c>
      <c r="J149" s="106">
        <f t="shared" si="29"/>
        <v>0.22715790799664326</v>
      </c>
      <c r="K149" s="107">
        <f t="shared" si="29"/>
        <v>0.25198807318845406</v>
      </c>
      <c r="L149" s="83">
        <f t="shared" si="24"/>
        <v>-1.8884384474486101E-133</v>
      </c>
      <c r="M149" s="83">
        <f t="shared" si="23"/>
        <v>0.89692526964446451</v>
      </c>
      <c r="N149" s="83">
        <f t="shared" si="25"/>
        <v>4.821785981011164E-15</v>
      </c>
    </row>
    <row r="150" spans="1:14">
      <c r="A150" s="81">
        <f t="shared" si="21"/>
        <v>5</v>
      </c>
      <c r="B150" s="81">
        <f t="shared" si="22"/>
        <v>792</v>
      </c>
      <c r="C150" s="82">
        <f t="shared" si="27"/>
        <v>28.142459140756923</v>
      </c>
      <c r="D150" s="83">
        <f t="shared" si="28"/>
        <v>7.375701874595797E-2</v>
      </c>
      <c r="E150" s="105">
        <f t="shared" si="29"/>
        <v>9.9484573635303164E-2</v>
      </c>
      <c r="F150" s="106">
        <f t="shared" si="29"/>
        <v>0.12510802312189884</v>
      </c>
      <c r="G150" s="106">
        <f t="shared" si="29"/>
        <v>0.15060095326453427</v>
      </c>
      <c r="H150" s="106">
        <f t="shared" si="29"/>
        <v>0.17593735846290892</v>
      </c>
      <c r="I150" s="106">
        <f t="shared" si="29"/>
        <v>0.20109172096509509</v>
      </c>
      <c r="J150" s="106">
        <f t="shared" si="29"/>
        <v>0.22603908784185989</v>
      </c>
      <c r="K150" s="107">
        <f t="shared" si="29"/>
        <v>0.2507551450415384</v>
      </c>
      <c r="L150" s="83">
        <f t="shared" si="24"/>
        <v>-7.1556730933451431E-135</v>
      </c>
      <c r="M150" s="83">
        <f t="shared" si="23"/>
        <v>0.8951694134640622</v>
      </c>
      <c r="N150" s="83">
        <f t="shared" si="25"/>
        <v>3.4444367556324099E-15</v>
      </c>
    </row>
    <row r="151" spans="1:14">
      <c r="A151" s="81">
        <f t="shared" si="21"/>
        <v>5</v>
      </c>
      <c r="B151" s="81">
        <f t="shared" si="22"/>
        <v>800</v>
      </c>
      <c r="C151" s="82">
        <f t="shared" si="27"/>
        <v>28.284236006814343</v>
      </c>
      <c r="D151" s="83">
        <f t="shared" si="28"/>
        <v>7.338835312664882E-2</v>
      </c>
      <c r="E151" s="105">
        <f t="shared" si="29"/>
        <v>9.898847258690302E-2</v>
      </c>
      <c r="F151" s="106">
        <f t="shared" si="29"/>
        <v>0.12448603603869524</v>
      </c>
      <c r="G151" s="106">
        <f t="shared" si="29"/>
        <v>0.14985501676952517</v>
      </c>
      <c r="H151" s="106">
        <f t="shared" si="29"/>
        <v>0.17506978636166903</v>
      </c>
      <c r="I151" s="106">
        <f t="shared" si="29"/>
        <v>0.20010519228858681</v>
      </c>
      <c r="J151" s="106">
        <f t="shared" si="29"/>
        <v>0.22493663306466627</v>
      </c>
      <c r="K151" s="107">
        <f t="shared" si="29"/>
        <v>0.24954013057472557</v>
      </c>
      <c r="L151" s="83">
        <f t="shared" si="24"/>
        <v>-2.7113885967759304E-136</v>
      </c>
      <c r="M151" s="83">
        <f t="shared" si="23"/>
        <v>0.89341683042511244</v>
      </c>
      <c r="N151" s="83">
        <f t="shared" si="25"/>
        <v>2.46052906750198E-15</v>
      </c>
    </row>
    <row r="152" spans="1:14">
      <c r="A152" s="81">
        <f t="shared" si="21"/>
        <v>5</v>
      </c>
      <c r="B152" s="81">
        <f t="shared" si="22"/>
        <v>808</v>
      </c>
      <c r="C152" s="82">
        <f t="shared" si="27"/>
        <v>28.425305741349078</v>
      </c>
      <c r="D152" s="83">
        <f t="shared" si="28"/>
        <v>7.3025160988116511E-2</v>
      </c>
      <c r="E152" s="105">
        <f t="shared" si="29"/>
        <v>9.8499719942864772E-2</v>
      </c>
      <c r="F152" s="106">
        <f t="shared" si="29"/>
        <v>0.12387323422900476</v>
      </c>
      <c r="G152" s="106">
        <f t="shared" si="29"/>
        <v>0.1491200549956142</v>
      </c>
      <c r="H152" s="106">
        <f t="shared" si="29"/>
        <v>0.17421492198305</v>
      </c>
      <c r="I152" s="106">
        <f t="shared" si="29"/>
        <v>0.19913303927195392</v>
      </c>
      <c r="J152" s="106">
        <f t="shared" si="29"/>
        <v>0.22385014866830732</v>
      </c>
      <c r="K152" s="107">
        <f t="shared" si="29"/>
        <v>0.24834260036317013</v>
      </c>
      <c r="L152" s="83">
        <f t="shared" si="24"/>
        <v>-1.0273704264952652E-137</v>
      </c>
      <c r="M152" s="83">
        <f t="shared" si="23"/>
        <v>0.89166771187646265</v>
      </c>
      <c r="N152" s="83">
        <f t="shared" si="25"/>
        <v>1.7576758470371843E-15</v>
      </c>
    </row>
    <row r="153" spans="1:14">
      <c r="A153" s="81">
        <f t="shared" si="21"/>
        <v>5</v>
      </c>
      <c r="B153" s="81">
        <f t="shared" si="22"/>
        <v>816</v>
      </c>
      <c r="C153" s="82">
        <f t="shared" si="27"/>
        <v>28.565678820731232</v>
      </c>
      <c r="D153" s="83">
        <f t="shared" si="28"/>
        <v>7.2667308218788307E-2</v>
      </c>
      <c r="E153" s="105">
        <f t="shared" si="29"/>
        <v>9.8018136066785555E-2</v>
      </c>
      <c r="F153" s="106">
        <f t="shared" si="29"/>
        <v>0.12326939382735458</v>
      </c>
      <c r="G153" s="106">
        <f t="shared" si="29"/>
        <v>0.14839580145812037</v>
      </c>
      <c r="H153" s="106">
        <f t="shared" si="29"/>
        <v>0.17337245813224778</v>
      </c>
      <c r="I153" s="106">
        <f t="shared" si="29"/>
        <v>0.19817491620099581</v>
      </c>
      <c r="J153" s="106">
        <f t="shared" si="29"/>
        <v>0.22277925287148204</v>
      </c>
      <c r="K153" s="107">
        <f t="shared" si="29"/>
        <v>0.2471621392499781</v>
      </c>
      <c r="L153" s="83">
        <f t="shared" si="24"/>
        <v>-3.8927522264497083E-139</v>
      </c>
      <c r="M153" s="83">
        <f t="shared" si="23"/>
        <v>0.88992223960398675</v>
      </c>
      <c r="N153" s="83">
        <f t="shared" si="25"/>
        <v>1.255593532326915E-15</v>
      </c>
    </row>
    <row r="154" spans="1:14">
      <c r="A154" s="81">
        <f t="shared" si="21"/>
        <v>5</v>
      </c>
      <c r="B154" s="81">
        <f t="shared" si="22"/>
        <v>824</v>
      </c>
      <c r="C154" s="82">
        <f t="shared" si="27"/>
        <v>28.705365465173458</v>
      </c>
      <c r="D154" s="83">
        <f t="shared" si="28"/>
        <v>7.2314665262858346E-2</v>
      </c>
      <c r="E154" s="105">
        <f t="shared" si="29"/>
        <v>9.7543547410546605E-2</v>
      </c>
      <c r="F154" s="106">
        <f t="shared" si="29"/>
        <v>0.12267429853289347</v>
      </c>
      <c r="G154" s="106">
        <f t="shared" si="29"/>
        <v>0.14768199864373277</v>
      </c>
      <c r="H154" s="106">
        <f t="shared" si="29"/>
        <v>0.17254209791035757</v>
      </c>
      <c r="I154" s="106">
        <f t="shared" si="29"/>
        <v>0.19723048888802031</v>
      </c>
      <c r="J154" s="106">
        <f t="shared" si="29"/>
        <v>0.22172357654542263</v>
      </c>
      <c r="K154" s="107">
        <f t="shared" si="29"/>
        <v>0.2459983457427295</v>
      </c>
      <c r="L154" s="83">
        <f t="shared" si="24"/>
        <v>-1.4749633753650548E-140</v>
      </c>
      <c r="M154" s="83">
        <f t="shared" si="23"/>
        <v>0.88818058621983731</v>
      </c>
      <c r="N154" s="83">
        <f t="shared" si="25"/>
        <v>8.9693166181843074E-16</v>
      </c>
    </row>
    <row r="155" spans="1:14">
      <c r="A155" s="81">
        <f t="shared" si="21"/>
        <v>5</v>
      </c>
      <c r="B155" s="81">
        <f t="shared" si="22"/>
        <v>832</v>
      </c>
      <c r="C155" s="82">
        <f t="shared" si="27"/>
        <v>28.844375647414747</v>
      </c>
      <c r="D155" s="83">
        <f t="shared" si="28"/>
        <v>7.1967106923225721E-2</v>
      </c>
      <c r="E155" s="105">
        <f t="shared" si="29"/>
        <v>9.7075786251558105E-2</v>
      </c>
      <c r="F155" s="106">
        <f t="shared" si="29"/>
        <v>0.12208773928389216</v>
      </c>
      <c r="G155" s="106">
        <f t="shared" si="29"/>
        <v>0.14697839762590759</v>
      </c>
      <c r="H155" s="106">
        <f t="shared" si="29"/>
        <v>0.17172355427495933</v>
      </c>
      <c r="I155" s="106">
        <f t="shared" si="29"/>
        <v>0.19629943418248752</v>
      </c>
      <c r="J155" s="106">
        <f t="shared" si="29"/>
        <v>0.22068276267999609</v>
      </c>
      <c r="K155" s="107">
        <f t="shared" si="29"/>
        <v>0.2448508314408917</v>
      </c>
      <c r="L155" s="83">
        <f t="shared" si="24"/>
        <v>-5.5885717726526936E-142</v>
      </c>
      <c r="M155" s="83">
        <f t="shared" si="23"/>
        <v>0.88644291553685584</v>
      </c>
      <c r="N155" s="83">
        <f t="shared" si="25"/>
        <v>6.4072200537818319E-16</v>
      </c>
    </row>
    <row r="156" spans="1:14">
      <c r="A156" s="81">
        <f t="shared" si="21"/>
        <v>5</v>
      </c>
      <c r="B156" s="81">
        <f t="shared" si="22"/>
        <v>840</v>
      </c>
      <c r="C156" s="82">
        <f t="shared" si="27"/>
        <v>28.982719101029375</v>
      </c>
      <c r="D156" s="83">
        <f t="shared" si="28"/>
        <v>7.1624512174748967E-2</v>
      </c>
      <c r="E156" s="105">
        <f t="shared" si="29"/>
        <v>9.6614690443731499E-2</v>
      </c>
      <c r="F156" s="106">
        <f t="shared" si="29"/>
        <v>0.12150951394920084</v>
      </c>
      <c r="G156" s="106">
        <f t="shared" si="29"/>
        <v>0.14628475770022997</v>
      </c>
      <c r="H156" s="106">
        <f t="shared" si="29"/>
        <v>0.17091654962340486</v>
      </c>
      <c r="I156" s="106">
        <f t="shared" si="29"/>
        <v>0.19538143950680253</v>
      </c>
      <c r="J156" s="106">
        <f t="shared" si="29"/>
        <v>0.21965646587707699</v>
      </c>
      <c r="K156" s="107">
        <f t="shared" si="29"/>
        <v>0.24371922049227246</v>
      </c>
      <c r="L156" s="83">
        <f t="shared" si="24"/>
        <v>-2.1174632523608321E-143</v>
      </c>
      <c r="M156" s="83">
        <f t="shared" si="23"/>
        <v>0.88470938292860657</v>
      </c>
      <c r="N156" s="83">
        <f t="shared" si="25"/>
        <v>4.5769895929812956E-16</v>
      </c>
    </row>
    <row r="157" spans="1:14">
      <c r="A157" s="81">
        <f t="shared" si="21"/>
        <v>5</v>
      </c>
      <c r="B157" s="81">
        <f t="shared" si="22"/>
        <v>848</v>
      </c>
      <c r="C157" s="82">
        <f t="shared" si="27"/>
        <v>29.120405328380524</v>
      </c>
      <c r="D157" s="83">
        <f t="shared" si="28"/>
        <v>7.1286763987188362E-2</v>
      </c>
      <c r="E157" s="105">
        <f t="shared" si="29"/>
        <v>9.6160103181339718E-2</v>
      </c>
      <c r="F157" s="106">
        <f t="shared" si="29"/>
        <v>0.12093942703562788</v>
      </c>
      <c r="G157" s="106">
        <f t="shared" si="29"/>
        <v>0.14560084603852097</v>
      </c>
      <c r="H157" s="106">
        <f t="shared" si="29"/>
        <v>0.17012081539743562</v>
      </c>
      <c r="I157" s="106">
        <f t="shared" si="29"/>
        <v>0.19447620241574604</v>
      </c>
      <c r="J157" s="106">
        <f t="shared" si="29"/>
        <v>0.21864435186956022</v>
      </c>
      <c r="K157" s="107">
        <f t="shared" si="29"/>
        <v>0.24260314907678948</v>
      </c>
      <c r="L157" s="83">
        <f t="shared" si="24"/>
        <v>-8.0228135539000902E-145</v>
      </c>
      <c r="M157" s="83">
        <f t="shared" si="23"/>
        <v>0.88298013567550448</v>
      </c>
      <c r="N157" s="83">
        <f t="shared" si="25"/>
        <v>3.2695667634973978E-16</v>
      </c>
    </row>
    <row r="158" spans="1:14">
      <c r="A158" s="81">
        <f t="shared" si="21"/>
        <v>5</v>
      </c>
      <c r="B158" s="81">
        <f t="shared" si="22"/>
        <v>856</v>
      </c>
      <c r="C158" s="82">
        <f t="shared" si="27"/>
        <v>29.257443608237082</v>
      </c>
      <c r="D158" s="83">
        <f t="shared" si="28"/>
        <v>7.0953749157246282E-2</v>
      </c>
      <c r="E158" s="105">
        <f t="shared" si="29"/>
        <v>9.5711872774987494E-2</v>
      </c>
      <c r="F158" s="106">
        <f t="shared" si="29"/>
        <v>0.12037728941027859</v>
      </c>
      <c r="G158" s="106">
        <f t="shared" si="29"/>
        <v>0.14492643736056454</v>
      </c>
      <c r="H158" s="106">
        <f t="shared" si="29"/>
        <v>0.16933609170785258</v>
      </c>
      <c r="I158" s="106">
        <f t="shared" si="29"/>
        <v>0.19358343017813495</v>
      </c>
      <c r="J158" s="106">
        <f t="shared" si="29"/>
        <v>0.21764609706449578</v>
      </c>
      <c r="K158" s="107">
        <f t="shared" si="29"/>
        <v>0.24150226491594839</v>
      </c>
      <c r="L158" s="83">
        <f t="shared" si="24"/>
        <v>-3.0397200299831567E-146</v>
      </c>
      <c r="M158" s="83">
        <f t="shared" si="23"/>
        <v>0.88125531329750117</v>
      </c>
      <c r="N158" s="83">
        <f t="shared" si="25"/>
        <v>2.3356109083926882E-16</v>
      </c>
    </row>
    <row r="159" spans="1:14">
      <c r="A159" s="81">
        <f t="shared" si="21"/>
        <v>5</v>
      </c>
      <c r="B159" s="81">
        <f t="shared" si="22"/>
        <v>864</v>
      </c>
      <c r="C159" s="82">
        <f t="shared" si="27"/>
        <v>29.393843003070778</v>
      </c>
      <c r="D159" s="83">
        <f t="shared" si="28"/>
        <v>7.062535814915849E-2</v>
      </c>
      <c r="E159" s="105">
        <f t="shared" si="29"/>
        <v>9.5269852438958136E-2</v>
      </c>
      <c r="F159" s="106">
        <f t="shared" si="29"/>
        <v>0.1198229180369581</v>
      </c>
      <c r="G159" s="106">
        <f t="shared" si="29"/>
        <v>0.14426131362240247</v>
      </c>
      <c r="H159" s="106">
        <f t="shared" si="29"/>
        <v>0.16856212697804751</v>
      </c>
      <c r="I159" s="106">
        <f t="shared" si="29"/>
        <v>0.19270283937939503</v>
      </c>
      <c r="J159" s="106">
        <f t="shared" si="29"/>
        <v>0.21666138810892765</v>
      </c>
      <c r="K159" s="107">
        <f t="shared" si="29"/>
        <v>0.24041622680653396</v>
      </c>
      <c r="L159" s="83">
        <f t="shared" si="24"/>
        <v>-1.1516932587439563E-147</v>
      </c>
      <c r="M159" s="83">
        <f t="shared" si="23"/>
        <v>0.87953504787378822</v>
      </c>
      <c r="N159" s="83">
        <f t="shared" si="25"/>
        <v>1.6684407170715421E-16</v>
      </c>
    </row>
    <row r="160" spans="1:14">
      <c r="A160" s="81">
        <f t="shared" si="21"/>
        <v>5</v>
      </c>
      <c r="B160" s="81">
        <f t="shared" si="22"/>
        <v>872</v>
      </c>
      <c r="C160" s="82">
        <f t="shared" si="27"/>
        <v>29.529612366049996</v>
      </c>
      <c r="D160" s="83">
        <f t="shared" si="28"/>
        <v>7.0301484943327219E-2</v>
      </c>
      <c r="E160" s="105">
        <f t="shared" si="29"/>
        <v>9.4833900089268397E-2</v>
      </c>
      <c r="F160" s="106">
        <f t="shared" si="29"/>
        <v>0.11927613572580453</v>
      </c>
      <c r="G160" s="106">
        <f t="shared" si="29"/>
        <v>0.14360526372021876</v>
      </c>
      <c r="H160" s="106">
        <f t="shared" si="29"/>
        <v>0.16779867760528511</v>
      </c>
      <c r="I160" s="106">
        <f t="shared" si="29"/>
        <v>0.19183415554382588</v>
      </c>
      <c r="J160" s="106">
        <f t="shared" si="29"/>
        <v>0.2156899214771173</v>
      </c>
      <c r="K160" s="107">
        <f t="shared" si="29"/>
        <v>0.23934470417710907</v>
      </c>
      <c r="L160" s="83">
        <f t="shared" si="24"/>
        <v>-4.3635171778541667E-149</v>
      </c>
      <c r="M160" s="83">
        <f t="shared" si="23"/>
        <v>0.87781946434996572</v>
      </c>
      <c r="N160" s="83">
        <f t="shared" si="25"/>
        <v>1.1918485293844915E-16</v>
      </c>
    </row>
    <row r="161" spans="1:14">
      <c r="A161" s="81">
        <f t="shared" si="21"/>
        <v>5</v>
      </c>
      <c r="B161" s="81">
        <f t="shared" si="22"/>
        <v>880</v>
      </c>
      <c r="C161" s="82">
        <f t="shared" si="27"/>
        <v>29.664760347745485</v>
      </c>
      <c r="D161" s="83">
        <f t="shared" si="28"/>
        <v>6.9982026892519311E-2</v>
      </c>
      <c r="E161" s="105">
        <f t="shared" si="29"/>
        <v>9.4403878151791742E-2</v>
      </c>
      <c r="F161" s="106">
        <f t="shared" si="29"/>
        <v>0.11873677089537482</v>
      </c>
      <c r="G161" s="106">
        <f t="shared" si="29"/>
        <v>0.14295808320890013</v>
      </c>
      <c r="H161" s="106">
        <f t="shared" si="29"/>
        <v>0.16704550763870119</v>
      </c>
      <c r="I161" s="106">
        <f t="shared" si="29"/>
        <v>0.19097711277541363</v>
      </c>
      <c r="J161" s="106">
        <f t="shared" si="29"/>
        <v>0.21473140307791683</v>
      </c>
      <c r="K161" s="107">
        <f t="shared" si="29"/>
        <v>0.23828737666602118</v>
      </c>
      <c r="L161" s="83">
        <f t="shared" si="24"/>
        <v>-1.6532306177462671E-150</v>
      </c>
      <c r="M161" s="83">
        <f t="shared" si="23"/>
        <v>0.8761086808331231</v>
      </c>
      <c r="N161" s="83">
        <f t="shared" si="25"/>
        <v>8.5139549907968019E-17</v>
      </c>
    </row>
    <row r="162" spans="1:14">
      <c r="A162" s="81">
        <f t="shared" si="21"/>
        <v>5</v>
      </c>
      <c r="B162" s="81">
        <f t="shared" si="22"/>
        <v>888</v>
      </c>
      <c r="C162" s="82">
        <f t="shared" si="27"/>
        <v>29.79929540256234</v>
      </c>
      <c r="D162" s="83">
        <f t="shared" si="28"/>
        <v>6.966688458518866E-2</v>
      </c>
      <c r="E162" s="105">
        <f t="shared" si="29"/>
        <v>9.3979653379869577E-2</v>
      </c>
      <c r="F162" s="106">
        <f t="shared" si="29"/>
        <v>0.11820465734645702</v>
      </c>
      <c r="G162" s="106">
        <f t="shared" si="29"/>
        <v>0.14231957403441964</v>
      </c>
      <c r="H162" s="106">
        <f t="shared" si="29"/>
        <v>0.16630238847305101</v>
      </c>
      <c r="I162" s="106">
        <f t="shared" si="29"/>
        <v>0.19013145341612514</v>
      </c>
      <c r="J162" s="106">
        <f t="shared" si="29"/>
        <v>0.21378554788114212</v>
      </c>
      <c r="K162" s="107">
        <f t="shared" si="29"/>
        <v>0.23724393371969277</v>
      </c>
      <c r="L162" s="83">
        <f t="shared" si="24"/>
        <v>-6.2636476708113312E-152</v>
      </c>
      <c r="M162" s="83">
        <f t="shared" si="23"/>
        <v>0.874402808875266</v>
      </c>
      <c r="N162" s="83">
        <f t="shared" si="25"/>
        <v>6.0819330475448987E-17</v>
      </c>
    </row>
    <row r="163" spans="1:14">
      <c r="A163" s="81">
        <f t="shared" si="21"/>
        <v>5</v>
      </c>
      <c r="B163" s="81">
        <f t="shared" si="22"/>
        <v>896</v>
      </c>
      <c r="C163" s="82">
        <f t="shared" si="27"/>
        <v>29.933225794911795</v>
      </c>
      <c r="D163" s="83">
        <f t="shared" si="28"/>
        <v>6.9355961715507508E-2</v>
      </c>
      <c r="E163" s="105">
        <f t="shared" si="29"/>
        <v>9.3561096680855771E-2</v>
      </c>
      <c r="F163" s="106">
        <f t="shared" si="29"/>
        <v>0.11767963404693371</v>
      </c>
      <c r="G163" s="106">
        <f t="shared" si="29"/>
        <v>0.14168954427925029</v>
      </c>
      <c r="H163" s="106">
        <f t="shared" si="29"/>
        <v>0.16556909855730617</v>
      </c>
      <c r="I163" s="106">
        <f t="shared" si="29"/>
        <v>0.18929692772068729</v>
      </c>
      <c r="J163" s="106">
        <f t="shared" si="29"/>
        <v>0.2128520795618658</v>
      </c>
      <c r="K163" s="107">
        <f t="shared" si="29"/>
        <v>0.23621407421005225</v>
      </c>
      <c r="L163" s="83">
        <f t="shared" si="24"/>
        <v>-2.3731138157402388E-153</v>
      </c>
      <c r="M163" s="83">
        <f t="shared" si="23"/>
        <v>0.87270195374550652</v>
      </c>
      <c r="N163" s="83">
        <f t="shared" si="25"/>
        <v>4.3446212288887115E-17</v>
      </c>
    </row>
    <row r="164" spans="1:14">
      <c r="A164" s="81">
        <f t="shared" si="21"/>
        <v>5</v>
      </c>
      <c r="B164" s="81">
        <f t="shared" si="22"/>
        <v>904</v>
      </c>
      <c r="C164" s="82">
        <f t="shared" si="27"/>
        <v>30.06655960513562</v>
      </c>
      <c r="D164" s="83">
        <f t="shared" si="28"/>
        <v>6.9049164959724019E-2</v>
      </c>
      <c r="E164" s="105">
        <f t="shared" ref="E164:K195" si="30">IF($C164&gt;0,$C$9*(EXP(-$C$12*$B164/$C$14)-EXP(-$C$12*$A164/$C$16)*EXP(-$C$12*$C164^2/$C$14)*2*NORMSDIST(-($C$13*$A164/$C$16/$C$36+$C$38*E$50)/(2*$C164)*SQRT(2))),$C$9*EXP(-$C$12*$B164/$C$14))</f>
        <v>9.3148082951083344E-2</v>
      </c>
      <c r="F164" s="106">
        <f t="shared" si="30"/>
        <v>0.11716154492706177</v>
      </c>
      <c r="G164" s="106">
        <f t="shared" si="30"/>
        <v>0.1410678079200629</v>
      </c>
      <c r="H164" s="106">
        <f t="shared" si="30"/>
        <v>0.1648454231172527</v>
      </c>
      <c r="I164" s="106">
        <f t="shared" si="30"/>
        <v>0.18847329354691822</v>
      </c>
      <c r="J164" s="106">
        <f t="shared" si="30"/>
        <v>0.21193073016162711</v>
      </c>
      <c r="K164" s="107">
        <f t="shared" si="30"/>
        <v>0.23519750607003953</v>
      </c>
      <c r="L164" s="83">
        <f t="shared" si="24"/>
        <v>-8.9909877188424579E-155</v>
      </c>
      <c r="M164" s="83">
        <f t="shared" si="23"/>
        <v>0.87100621469143835</v>
      </c>
      <c r="N164" s="83">
        <f t="shared" si="25"/>
        <v>3.1035747146427701E-17</v>
      </c>
    </row>
    <row r="165" spans="1:14">
      <c r="A165" s="81">
        <f t="shared" si="21"/>
        <v>5</v>
      </c>
      <c r="B165" s="81">
        <f t="shared" si="22"/>
        <v>912</v>
      </c>
      <c r="C165" s="82">
        <f t="shared" si="27"/>
        <v>30.199304735195028</v>
      </c>
      <c r="D165" s="83">
        <f t="shared" si="28"/>
        <v>6.8746403858479965E-2</v>
      </c>
      <c r="E165" s="105">
        <f t="shared" si="30"/>
        <v>9.2740490918775009E-2</v>
      </c>
      <c r="F165" s="106">
        <f t="shared" si="30"/>
        <v>0.11665023868457913</v>
      </c>
      <c r="G165" s="106">
        <f t="shared" si="30"/>
        <v>0.14045418459701753</v>
      </c>
      <c r="H165" s="106">
        <f t="shared" si="30"/>
        <v>0.16413115389130928</v>
      </c>
      <c r="I165" s="106">
        <f t="shared" si="30"/>
        <v>0.18766031606074352</v>
      </c>
      <c r="J165" s="106">
        <f t="shared" si="30"/>
        <v>0.2110212397656126</v>
      </c>
      <c r="K165" s="107">
        <f t="shared" si="30"/>
        <v>0.23419394594618725</v>
      </c>
      <c r="L165" s="83">
        <f t="shared" si="24"/>
        <v>-3.4063874512912958E-156</v>
      </c>
      <c r="M165" s="83">
        <f t="shared" si="23"/>
        <v>0.86931568519009828</v>
      </c>
      <c r="N165" s="83">
        <f t="shared" si="25"/>
        <v>2.2170346969081232E-17</v>
      </c>
    </row>
    <row r="166" spans="1:14">
      <c r="A166" s="81">
        <f t="shared" si="21"/>
        <v>5</v>
      </c>
      <c r="B166" s="81">
        <f t="shared" si="22"/>
        <v>920</v>
      </c>
      <c r="C166" s="82">
        <f t="shared" si="27"/>
        <v>30.331468914135577</v>
      </c>
      <c r="D166" s="83">
        <f t="shared" si="28"/>
        <v>6.8447590704758365E-2</v>
      </c>
      <c r="E166" s="105">
        <f t="shared" si="30"/>
        <v>9.2338202994450391E-2</v>
      </c>
      <c r="F166" s="106">
        <f t="shared" si="30"/>
        <v>0.11614556859908665</v>
      </c>
      <c r="G166" s="106">
        <f t="shared" si="30"/>
        <v>0.13984849939399346</v>
      </c>
      <c r="H166" s="106">
        <f t="shared" si="30"/>
        <v>0.16342608887882037</v>
      </c>
      <c r="I166" s="106">
        <f t="shared" si="30"/>
        <v>0.18685776745507598</v>
      </c>
      <c r="J166" s="106">
        <f t="shared" si="30"/>
        <v>0.21012335619492983</v>
      </c>
      <c r="K166" s="107">
        <f t="shared" si="30"/>
        <v>0.23320311886733536</v>
      </c>
      <c r="L166" s="83">
        <f t="shared" si="24"/>
        <v>-1.2905614557727642E-157</v>
      </c>
      <c r="M166" s="83">
        <f t="shared" si="23"/>
        <v>0.86763045318889875</v>
      </c>
      <c r="N166" s="83">
        <f t="shared" si="25"/>
        <v>1.5837359494212423E-17</v>
      </c>
    </row>
    <row r="167" spans="1:14">
      <c r="A167" s="81">
        <f t="shared" si="21"/>
        <v>5</v>
      </c>
      <c r="B167" s="81">
        <f t="shared" si="22"/>
        <v>928</v>
      </c>
      <c r="C167" s="82">
        <f t="shared" si="27"/>
        <v>30.463059703338615</v>
      </c>
      <c r="D167" s="83">
        <f t="shared" si="28"/>
        <v>6.8152640437140422E-2</v>
      </c>
      <c r="E167" s="105">
        <f t="shared" si="30"/>
        <v>9.1941105128406697E-2</v>
      </c>
      <c r="F167" s="106">
        <f t="shared" si="30"/>
        <v>0.1156473923551864</v>
      </c>
      <c r="G167" s="106">
        <f t="shared" si="30"/>
        <v>0.13925058262915524</v>
      </c>
      <c r="H167" s="106">
        <f t="shared" si="30"/>
        <v>0.16273003210013881</v>
      </c>
      <c r="I167" s="106">
        <f t="shared" si="30"/>
        <v>0.18606542668179915</v>
      </c>
      <c r="J167" s="106">
        <f t="shared" si="30"/>
        <v>0.20923683471314258</v>
      </c>
      <c r="K167" s="107">
        <f t="shared" si="30"/>
        <v>0.23222475792860786</v>
      </c>
      <c r="L167" s="83">
        <f t="shared" si="24"/>
        <v>-4.8894671896784684E-159</v>
      </c>
      <c r="M167" s="83">
        <f t="shared" si="23"/>
        <v>0.86595060133692137</v>
      </c>
      <c r="N167" s="83">
        <f t="shared" si="25"/>
        <v>1.1313397850683841E-17</v>
      </c>
    </row>
    <row r="168" spans="1:14">
      <c r="A168" s="81">
        <f t="shared" si="21"/>
        <v>5</v>
      </c>
      <c r="B168" s="81">
        <f t="shared" si="22"/>
        <v>936</v>
      </c>
      <c r="C168" s="82">
        <f t="shared" si="27"/>
        <v>30.594084501569466</v>
      </c>
      <c r="D168" s="83">
        <f t="shared" si="28"/>
        <v>6.7861470538080448E-2</v>
      </c>
      <c r="E168" s="105">
        <f t="shared" si="30"/>
        <v>9.1549086674886482E-2</v>
      </c>
      <c r="F168" s="106">
        <f t="shared" si="30"/>
        <v>0.11515557187389192</v>
      </c>
      <c r="G168" s="106">
        <f t="shared" si="30"/>
        <v>0.13866026965528166</v>
      </c>
      <c r="H168" s="106">
        <f t="shared" si="30"/>
        <v>0.16204279336784877</v>
      </c>
      <c r="I168" s="106">
        <f t="shared" si="30"/>
        <v>0.18528307919613973</v>
      </c>
      <c r="J168" s="106">
        <f t="shared" si="30"/>
        <v>0.20836143774629701</v>
      </c>
      <c r="K168" s="107">
        <f t="shared" si="30"/>
        <v>0.23125860398982367</v>
      </c>
      <c r="L168" s="83">
        <f t="shared" si="24"/>
        <v>-1.8524340990842746E-160</v>
      </c>
      <c r="M168" s="83">
        <f t="shared" si="23"/>
        <v>0.8642762072069341</v>
      </c>
      <c r="N168" s="83">
        <f t="shared" si="25"/>
        <v>8.0817115362337562E-18</v>
      </c>
    </row>
    <row r="169" spans="1:14">
      <c r="A169" s="81">
        <f t="shared" si="21"/>
        <v>5</v>
      </c>
      <c r="B169" s="81">
        <f t="shared" si="22"/>
        <v>944</v>
      </c>
      <c r="C169" s="82">
        <f t="shared" si="27"/>
        <v>30.724550549831854</v>
      </c>
      <c r="D169" s="83">
        <f t="shared" si="28"/>
        <v>6.757400093691901E-2</v>
      </c>
      <c r="E169" s="105">
        <f t="shared" si="30"/>
        <v>9.1162040262561028E-2</v>
      </c>
      <c r="F169" s="106">
        <f t="shared" si="30"/>
        <v>0.11466997315185923</v>
      </c>
      <c r="G169" s="106">
        <f t="shared" si="30"/>
        <v>0.1380774006693255</v>
      </c>
      <c r="H169" s="106">
        <f t="shared" si="30"/>
        <v>0.16136418806852304</v>
      </c>
      <c r="I169" s="106">
        <f t="shared" si="30"/>
        <v>0.1845105167127532</v>
      </c>
      <c r="J169" s="106">
        <f t="shared" si="30"/>
        <v>0.20749693461571073</v>
      </c>
      <c r="K169" s="107">
        <f t="shared" si="30"/>
        <v>0.23030440538757047</v>
      </c>
      <c r="L169" s="83">
        <f t="shared" si="24"/>
        <v>-7.0181485750598382E-162</v>
      </c>
      <c r="M169" s="83">
        <f t="shared" si="23"/>
        <v>0.86260734350849022</v>
      </c>
      <c r="N169" s="83">
        <f t="shared" si="25"/>
        <v>5.7731604790108506E-18</v>
      </c>
    </row>
    <row r="170" spans="1:14">
      <c r="A170" s="81">
        <f t="shared" si="21"/>
        <v>5</v>
      </c>
      <c r="B170" s="81">
        <f t="shared" si="22"/>
        <v>952</v>
      </c>
      <c r="C170" s="82">
        <f t="shared" si="27"/>
        <v>30.854464936037587</v>
      </c>
      <c r="D170" s="83">
        <f t="shared" si="28"/>
        <v>6.729015391737958E-2</v>
      </c>
      <c r="E170" s="105">
        <f t="shared" si="30"/>
        <v>9.0779861670985618E-2</v>
      </c>
      <c r="F170" s="106">
        <f t="shared" si="30"/>
        <v>0.1141904661080122</v>
      </c>
      <c r="G170" s="106">
        <f t="shared" si="30"/>
        <v>0.13750182053070459</v>
      </c>
      <c r="H170" s="106">
        <f t="shared" si="30"/>
        <v>0.16069403695444739</v>
      </c>
      <c r="I170" s="106">
        <f t="shared" si="30"/>
        <v>0.18374753697289892</v>
      </c>
      <c r="J170" s="106">
        <f t="shared" si="30"/>
        <v>0.20664310128284225</v>
      </c>
      <c r="K170" s="107">
        <f t="shared" si="30"/>
        <v>0.22936191766021663</v>
      </c>
      <c r="L170" s="83">
        <f t="shared" si="24"/>
        <v>-2.6588943300040592E-163</v>
      </c>
      <c r="M170" s="83">
        <f t="shared" si="23"/>
        <v>0.86094407829245756</v>
      </c>
      <c r="N170" s="83">
        <f t="shared" si="25"/>
        <v>4.1240499326142404E-18</v>
      </c>
    </row>
    <row r="171" spans="1:14">
      <c r="A171" s="81">
        <f t="shared" si="21"/>
        <v>5</v>
      </c>
      <c r="B171" s="81">
        <f t="shared" si="22"/>
        <v>960</v>
      </c>
      <c r="C171" s="82">
        <f t="shared" si="27"/>
        <v>30.983834599499993</v>
      </c>
      <c r="D171" s="83">
        <f t="shared" si="28"/>
        <v>6.7009854029302929E-2</v>
      </c>
      <c r="E171" s="105">
        <f t="shared" si="30"/>
        <v>9.0402449712705168E-2</v>
      </c>
      <c r="F171" s="106">
        <f t="shared" si="30"/>
        <v>0.11371692443716297</v>
      </c>
      <c r="G171" s="106">
        <f t="shared" si="30"/>
        <v>0.13693337858785437</v>
      </c>
      <c r="H171" s="106">
        <f t="shared" si="30"/>
        <v>0.16003216594477632</v>
      </c>
      <c r="I171" s="106">
        <f t="shared" si="30"/>
        <v>0.18299394352211196</v>
      </c>
      <c r="J171" s="106">
        <f t="shared" si="30"/>
        <v>0.20579972010560255</v>
      </c>
      <c r="K171" s="107">
        <f t="shared" si="30"/>
        <v>0.22843090328518034</v>
      </c>
      <c r="L171" s="83">
        <f t="shared" si="24"/>
        <v>-1.0073455829639527E-164</v>
      </c>
      <c r="M171" s="83">
        <f t="shared" si="23"/>
        <v>0.85928647514730727</v>
      </c>
      <c r="N171" s="83">
        <f t="shared" si="25"/>
        <v>2.9460098863577003E-18</v>
      </c>
    </row>
    <row r="172" spans="1:14">
      <c r="A172" s="81">
        <f t="shared" si="21"/>
        <v>5</v>
      </c>
      <c r="B172" s="81">
        <f t="shared" si="22"/>
        <v>968</v>
      </c>
      <c r="C172" s="82">
        <f t="shared" si="27"/>
        <v>31.112666335259227</v>
      </c>
      <c r="D172" s="83">
        <f t="shared" si="28"/>
        <v>6.6733028004390738E-2</v>
      </c>
      <c r="E172" s="105">
        <f t="shared" si="30"/>
        <v>9.002970612070782E-2</v>
      </c>
      <c r="F172" s="106">
        <f t="shared" si="30"/>
        <v>0.11324922547025418</v>
      </c>
      <c r="G172" s="106">
        <f t="shared" si="30"/>
        <v>0.13637192851260083</v>
      </c>
      <c r="H172" s="106">
        <f t="shared" si="30"/>
        <v>0.15937840593562203</v>
      </c>
      <c r="I172" s="106">
        <f t="shared" si="30"/>
        <v>0.18224954549781325</v>
      </c>
      <c r="J172" s="106">
        <f t="shared" si="30"/>
        <v>0.20496657960550446</v>
      </c>
      <c r="K172" s="107">
        <f t="shared" si="30"/>
        <v>0.22751113142781287</v>
      </c>
      <c r="L172" s="83">
        <f t="shared" si="24"/>
        <v>-3.816409220453164E-166</v>
      </c>
      <c r="M172" s="83">
        <f t="shared" si="23"/>
        <v>0.85763459338749315</v>
      </c>
      <c r="N172" s="83">
        <f t="shared" si="25"/>
        <v>2.1044784598463285E-18</v>
      </c>
    </row>
    <row r="173" spans="1:14">
      <c r="A173" s="81">
        <f t="shared" si="21"/>
        <v>5</v>
      </c>
      <c r="B173" s="81">
        <f t="shared" si="22"/>
        <v>976</v>
      </c>
      <c r="C173" s="82">
        <f t="shared" si="27"/>
        <v>31.240966798247022</v>
      </c>
      <c r="D173" s="83">
        <f t="shared" si="28"/>
        <v>6.6459604675750628E-2</v>
      </c>
      <c r="E173" s="105">
        <f t="shared" si="30"/>
        <v>8.9661535440939133E-2</v>
      </c>
      <c r="F173" s="106">
        <f t="shared" si="30"/>
        <v>0.11278725004087331</v>
      </c>
      <c r="G173" s="106">
        <f t="shared" si="30"/>
        <v>0.13581732814194236</v>
      </c>
      <c r="H173" s="106">
        <f t="shared" si="30"/>
        <v>0.15873259261860473</v>
      </c>
      <c r="I173" s="106">
        <f t="shared" si="30"/>
        <v>0.18151415742634547</v>
      </c>
      <c r="J173" s="106">
        <f t="shared" si="30"/>
        <v>0.20414347424508894</v>
      </c>
      <c r="K173" s="107">
        <f t="shared" si="30"/>
        <v>0.22660237770129954</v>
      </c>
      <c r="L173" s="83">
        <f t="shared" si="24"/>
        <v>-1.4458744169463213E-167</v>
      </c>
      <c r="M173" s="83">
        <f t="shared" si="23"/>
        <v>0.85598848823422347</v>
      </c>
      <c r="N173" s="83">
        <f t="shared" si="25"/>
        <v>1.5033315429340692E-18</v>
      </c>
    </row>
    <row r="174" spans="1:14">
      <c r="A174" s="81">
        <f t="shared" si="21"/>
        <v>5</v>
      </c>
      <c r="B174" s="81">
        <f t="shared" si="22"/>
        <v>984</v>
      </c>
      <c r="C174" s="82">
        <f t="shared" si="27"/>
        <v>31.368742507298133</v>
      </c>
      <c r="D174" s="83">
        <f t="shared" si="28"/>
        <v>6.6189514901033641E-2</v>
      </c>
      <c r="E174" s="105">
        <f t="shared" si="30"/>
        <v>8.929784492961379E-2</v>
      </c>
      <c r="F174" s="106">
        <f t="shared" si="30"/>
        <v>0.11233088235770583</v>
      </c>
      <c r="G174" s="106">
        <f t="shared" si="30"/>
        <v>0.13526943932685054</v>
      </c>
      <c r="H174" s="106">
        <f t="shared" si="30"/>
        <v>0.15809456630742247</v>
      </c>
      <c r="I174" s="106">
        <f t="shared" si="30"/>
        <v>0.18078759902893582</v>
      </c>
      <c r="J174" s="106">
        <f t="shared" si="30"/>
        <v>0.20333020421509307</v>
      </c>
      <c r="K174" s="107">
        <f t="shared" si="30"/>
        <v>0.22570442393700541</v>
      </c>
      <c r="L174" s="83">
        <f t="shared" si="24"/>
        <v>-5.4777919882539884E-169</v>
      </c>
      <c r="M174" s="83">
        <f t="shared" si="23"/>
        <v>0.85434821098893599</v>
      </c>
      <c r="N174" s="83">
        <f t="shared" si="25"/>
        <v>1.0739029983445673E-18</v>
      </c>
    </row>
    <row r="175" spans="1:14">
      <c r="A175" s="81">
        <f t="shared" si="21"/>
        <v>5</v>
      </c>
      <c r="B175" s="81">
        <f t="shared" si="22"/>
        <v>992</v>
      </c>
      <c r="C175" s="82">
        <f t="shared" si="27"/>
        <v>31.495999849015316</v>
      </c>
      <c r="D175" s="83">
        <f t="shared" si="28"/>
        <v>6.5922691488983221E-2</v>
      </c>
      <c r="E175" s="105">
        <f t="shared" si="30"/>
        <v>8.8938544455071877E-2</v>
      </c>
      <c r="F175" s="106">
        <f t="shared" si="30"/>
        <v>0.11188000988262159</v>
      </c>
      <c r="G175" s="106">
        <f t="shared" si="30"/>
        <v>0.13472812778772658</v>
      </c>
      <c r="H175" s="106">
        <f t="shared" si="30"/>
        <v>0.15746417177202554</v>
      </c>
      <c r="I175" s="106">
        <f t="shared" si="30"/>
        <v>0.18006969503613091</v>
      </c>
      <c r="J175" s="106">
        <f t="shared" si="30"/>
        <v>0.20252657523086182</v>
      </c>
      <c r="K175" s="107">
        <f t="shared" si="30"/>
        <v>0.22481705796473905</v>
      </c>
      <c r="L175" s="83">
        <f t="shared" si="24"/>
        <v>-2.075295565430613E-170</v>
      </c>
      <c r="M175" s="83">
        <f t="shared" si="23"/>
        <v>0.85271380919975703</v>
      </c>
      <c r="N175" s="83">
        <f t="shared" si="25"/>
        <v>7.6714125721237396E-19</v>
      </c>
    </row>
    <row r="176" spans="1:14">
      <c r="A176" s="81">
        <f t="shared" si="21"/>
        <v>5</v>
      </c>
      <c r="B176" s="81">
        <f t="shared" si="22"/>
        <v>1000</v>
      </c>
      <c r="C176" s="82">
        <f t="shared" si="27"/>
        <v>31.622745081494315</v>
      </c>
      <c r="D176" s="83">
        <f t="shared" si="28"/>
        <v>6.5659069129212932E-2</v>
      </c>
      <c r="E176" s="105">
        <f t="shared" si="30"/>
        <v>8.8583546403942393E-2</v>
      </c>
      <c r="F176" s="106">
        <f t="shared" si="30"/>
        <v>0.1114345232140983</v>
      </c>
      <c r="G176" s="106">
        <f t="shared" si="30"/>
        <v>0.13419326297616596</v>
      </c>
      <c r="H176" s="106">
        <f t="shared" si="30"/>
        <v>0.15684125808000449</v>
      </c>
      <c r="I176" s="106">
        <f t="shared" si="30"/>
        <v>0.17936027501026808</v>
      </c>
      <c r="J176" s="106">
        <f t="shared" si="30"/>
        <v>0.20173239833753165</v>
      </c>
      <c r="K176" s="107">
        <f t="shared" si="30"/>
        <v>0.22394007340242905</v>
      </c>
      <c r="L176" s="83">
        <f t="shared" si="24"/>
        <v>-7.8623788154117595E-172</v>
      </c>
      <c r="M176" s="83">
        <f t="shared" si="23"/>
        <v>0.85108532682123417</v>
      </c>
      <c r="N176" s="83">
        <f t="shared" si="25"/>
        <v>5.4800639296525408E-19</v>
      </c>
    </row>
    <row r="177" spans="1:14">
      <c r="A177" s="81">
        <f t="shared" si="21"/>
        <v>5</v>
      </c>
      <c r="B177" s="81">
        <f t="shared" si="22"/>
        <v>1008</v>
      </c>
      <c r="C177" s="82">
        <f t="shared" si="27"/>
        <v>31.748984337915015</v>
      </c>
      <c r="D177" s="83">
        <f t="shared" si="28"/>
        <v>6.5398584325050191E-2</v>
      </c>
      <c r="E177" s="105">
        <f t="shared" si="30"/>
        <v>8.8232765591397477E-2</v>
      </c>
      <c r="F177" s="106">
        <f t="shared" si="30"/>
        <v>0.11099431597571141</v>
      </c>
      <c r="G177" s="106">
        <f t="shared" si="30"/>
        <v>0.13366471794271439</v>
      </c>
      <c r="H177" s="106">
        <f t="shared" si="30"/>
        <v>0.1562256784448226</v>
      </c>
      <c r="I177" s="106">
        <f t="shared" si="30"/>
        <v>0.17865917317557445</v>
      </c>
      <c r="J177" s="106">
        <f t="shared" si="30"/>
        <v>0.20094748972354526</v>
      </c>
      <c r="K177" s="107">
        <f t="shared" si="30"/>
        <v>0.22307326945473926</v>
      </c>
      <c r="L177" s="83">
        <f t="shared" si="24"/>
        <v>-2.9787062511945006E-173</v>
      </c>
      <c r="M177" s="83">
        <f t="shared" si="23"/>
        <v>0.84946280436760047</v>
      </c>
      <c r="N177" s="83">
        <f t="shared" si="25"/>
        <v>3.9146767809367204E-19</v>
      </c>
    </row>
    <row r="178" spans="1:14">
      <c r="A178" s="81">
        <f t="shared" si="21"/>
        <v>5</v>
      </c>
      <c r="B178" s="81">
        <f t="shared" si="22"/>
        <v>1016</v>
      </c>
      <c r="C178" s="82">
        <f t="shared" si="27"/>
        <v>31.874723630004588</v>
      </c>
      <c r="D178" s="83">
        <f t="shared" si="28"/>
        <v>6.5141175329287204E-2</v>
      </c>
      <c r="E178" s="105">
        <f t="shared" si="30"/>
        <v>8.7886119175281552E-2</v>
      </c>
      <c r="F178" s="106">
        <f t="shared" si="30"/>
        <v>0.11055928470943277</v>
      </c>
      <c r="G178" s="106">
        <f t="shared" si="30"/>
        <v>0.13314236921030598</v>
      </c>
      <c r="H178" s="106">
        <f t="shared" si="30"/>
        <v>0.15561729008054836</v>
      </c>
      <c r="I178" s="106">
        <f t="shared" si="30"/>
        <v>0.17796622825551189</v>
      </c>
      <c r="J178" s="106">
        <f t="shared" si="30"/>
        <v>0.20017167054207574</v>
      </c>
      <c r="K178" s="107">
        <f t="shared" si="30"/>
        <v>0.22221645072018248</v>
      </c>
      <c r="L178" s="83">
        <f t="shared" si="24"/>
        <v>-1.1284990811332746E-174</v>
      </c>
      <c r="M178" s="83">
        <f t="shared" si="23"/>
        <v>0.84784627905983934</v>
      </c>
      <c r="N178" s="83">
        <f t="shared" si="25"/>
        <v>2.7964444385919497E-19</v>
      </c>
    </row>
    <row r="179" spans="1:14">
      <c r="A179" s="81">
        <f t="shared" si="21"/>
        <v>5</v>
      </c>
      <c r="B179" s="81">
        <f t="shared" si="22"/>
        <v>1024</v>
      </c>
      <c r="C179" s="82">
        <f t="shared" si="27"/>
        <v>31.999968851378167</v>
      </c>
      <c r="D179" s="83">
        <f t="shared" si="28"/>
        <v>6.4886782082691274E-2</v>
      </c>
      <c r="E179" s="105">
        <f t="shared" si="30"/>
        <v>8.7543526573925057E-2</v>
      </c>
      <c r="F179" s="106">
        <f t="shared" si="30"/>
        <v>0.11012932877348991</v>
      </c>
      <c r="G179" s="106">
        <f t="shared" si="30"/>
        <v>0.13262609665309788</v>
      </c>
      <c r="H179" s="106">
        <f t="shared" si="30"/>
        <v>0.15501595406276025</v>
      </c>
      <c r="I179" s="106">
        <f t="shared" si="30"/>
        <v>0.17728128331700344</v>
      </c>
      <c r="J179" s="106">
        <f t="shared" si="30"/>
        <v>0.19940476673997143</v>
      </c>
      <c r="K179" s="107">
        <f t="shared" si="30"/>
        <v>0.22136942700630668</v>
      </c>
      <c r="L179" s="83">
        <f t="shared" si="24"/>
        <v>-4.2753795276493786E-176</v>
      </c>
      <c r="M179" s="83">
        <f t="shared" si="23"/>
        <v>0.84623578496679519</v>
      </c>
      <c r="N179" s="83">
        <f t="shared" si="25"/>
        <v>1.9976365702050534E-19</v>
      </c>
    </row>
    <row r="180" spans="1:14">
      <c r="A180" s="81">
        <f t="shared" ref="A180:A243" si="31">IF(ISBLANK($C$44),A179+$C$42,$C$44)</f>
        <v>5</v>
      </c>
      <c r="B180" s="81">
        <f t="shared" ref="B180:B243" si="32">IF(ISBLANK($C$43),B179+$C$41,$C$43)</f>
        <v>1032</v>
      </c>
      <c r="C180" s="82">
        <f t="shared" si="27"/>
        <v>32.124725780762283</v>
      </c>
      <c r="D180" s="83">
        <f t="shared" si="28"/>
        <v>6.4635346155137441E-2</v>
      </c>
      <c r="E180" s="105">
        <f t="shared" si="30"/>
        <v>8.7204909387453622E-2</v>
      </c>
      <c r="F180" s="106">
        <f t="shared" si="30"/>
        <v>0.10970435024456426</v>
      </c>
      <c r="G180" s="106">
        <f t="shared" si="30"/>
        <v>0.13211578338043473</v>
      </c>
      <c r="H180" s="106">
        <f t="shared" si="30"/>
        <v>0.15442153519531709</v>
      </c>
      <c r="I180" s="106">
        <f t="shared" si="30"/>
        <v>0.17660418562119928</v>
      </c>
      <c r="J180" s="106">
        <f t="shared" si="30"/>
        <v>0.198646608893847</v>
      </c>
      <c r="K180" s="107">
        <f t="shared" si="30"/>
        <v>0.22053201315256077</v>
      </c>
      <c r="L180" s="83">
        <f t="shared" si="24"/>
        <v>-1.6197506847059557E-177</v>
      </c>
      <c r="M180" s="83">
        <f t="shared" ref="M180:M243" si="33">$C$9*EXP(-$C$12*$B180/$C$14)*(1-0.5*2*NORMSDIST(-($C$14*$A180)/(2*SQRT(($C$11)*$C$14*$B180))*SQRT(2))-0.5*2*NORMSDIST(-($C$14*$A180)/(2*SQRT(($C$11)*$C$14*$B180))*SQRT(2)))</f>
        <v>0.84463135314056714</v>
      </c>
      <c r="N180" s="83">
        <f t="shared" si="25"/>
        <v>1.4270091733451031E-19</v>
      </c>
    </row>
    <row r="181" spans="1:14">
      <c r="A181" s="81">
        <f t="shared" si="31"/>
        <v>5</v>
      </c>
      <c r="B181" s="81">
        <f t="shared" si="32"/>
        <v>1040</v>
      </c>
      <c r="C181" s="82">
        <f t="shared" si="27"/>
        <v>32.249000085106097</v>
      </c>
      <c r="D181" s="83">
        <f t="shared" si="28"/>
        <v>6.4386810689229135E-2</v>
      </c>
      <c r="E181" s="105">
        <f t="shared" si="30"/>
        <v>8.6870191322419466E-2</v>
      </c>
      <c r="F181" s="106">
        <f t="shared" si="30"/>
        <v>0.10928425382410589</v>
      </c>
      <c r="G181" s="106">
        <f t="shared" si="30"/>
        <v>0.13161131562568418</v>
      </c>
      <c r="H181" s="106">
        <f t="shared" si="30"/>
        <v>0.15383390188270263</v>
      </c>
      <c r="I181" s="106">
        <f t="shared" si="30"/>
        <v>0.17593478648046212</v>
      </c>
      <c r="J181" s="106">
        <f t="shared" si="30"/>
        <v>0.19789703205296982</v>
      </c>
      <c r="K181" s="107">
        <f t="shared" si="30"/>
        <v>0.21970402886046481</v>
      </c>
      <c r="L181" s="83">
        <f t="shared" ref="L181:L244" si="34">$C$9*EXP(-$C$12*$B181/$C$14)*(1-0.5*2*NORMSDIST(-($C$14*$A181-$C$17*$B181)/(2*SQRT(($C$18*$C$17+$C$11)*$C$14*$B181))*SQRT(2))-0.5*EXP($C$17*$A181/(($C$18*$C$17+$C$11)))*2*NORMSDIST(-($C$14*$A181+$C$17*$B181)/(2*SQRT(($C$18*$C$17+$C$11)*$C$14*$B181))*SQRT(2)))</f>
        <v>-6.1365150888199095E-179</v>
      </c>
      <c r="M181" s="83">
        <f t="shared" si="33"/>
        <v>0.8430330117464222</v>
      </c>
      <c r="N181" s="83">
        <f t="shared" ref="N181:N244" si="35">$C$9*EXP(-($C$25/1000/($C$10*$A181)+$C$12)/$C$14*$B181)</f>
        <v>1.0193822095487875E-19</v>
      </c>
    </row>
    <row r="182" spans="1:14">
      <c r="A182" s="81">
        <f t="shared" si="31"/>
        <v>5</v>
      </c>
      <c r="B182" s="81">
        <f t="shared" si="32"/>
        <v>1048</v>
      </c>
      <c r="C182" s="82">
        <f t="shared" si="27"/>
        <v>32.3727973225851</v>
      </c>
      <c r="D182" s="83">
        <f t="shared" si="28"/>
        <v>6.4141120346287162E-2</v>
      </c>
      <c r="E182" s="105">
        <f t="shared" si="30"/>
        <v>8.6539298119591823E-2</v>
      </c>
      <c r="F182" s="106">
        <f t="shared" si="30"/>
        <v>0.10886894674856729</v>
      </c>
      <c r="G182" s="106">
        <f t="shared" si="30"/>
        <v>0.13111258263970549</v>
      </c>
      <c r="H182" s="106">
        <f t="shared" si="30"/>
        <v>0.15325292600767204</v>
      </c>
      <c r="I182" s="106">
        <f t="shared" si="30"/>
        <v>0.17527294112126857</v>
      </c>
      <c r="J182" s="106">
        <f t="shared" si="30"/>
        <v>0.19715587558861714</v>
      </c>
      <c r="K182" s="107">
        <f t="shared" si="30"/>
        <v>0.21888529853073191</v>
      </c>
      <c r="L182" s="83">
        <f t="shared" si="34"/>
        <v>-2.32485392951003E-180</v>
      </c>
      <c r="M182" s="83">
        <f t="shared" si="33"/>
        <v>0.84144078618744422</v>
      </c>
      <c r="N182" s="83">
        <f t="shared" si="35"/>
        <v>7.281944002564997E-20</v>
      </c>
    </row>
    <row r="183" spans="1:14">
      <c r="A183" s="81">
        <f t="shared" si="31"/>
        <v>5</v>
      </c>
      <c r="B183" s="81">
        <f t="shared" si="32"/>
        <v>1056</v>
      </c>
      <c r="C183" s="82">
        <f t="shared" si="27"/>
        <v>32.496122945501867</v>
      </c>
      <c r="D183" s="83">
        <f t="shared" si="28"/>
        <v>6.3898221254587995E-2</v>
      </c>
      <c r="E183" s="105">
        <f t="shared" si="30"/>
        <v>8.6212157484749419E-2</v>
      </c>
      <c r="F183" s="106">
        <f t="shared" si="30"/>
        <v>0.1084583387033573</v>
      </c>
      <c r="G183" s="106">
        <f t="shared" si="30"/>
        <v>0.13061947658872652</v>
      </c>
      <c r="H183" s="106">
        <f t="shared" si="30"/>
        <v>0.15267848281394225</v>
      </c>
      <c r="I183" s="106">
        <f t="shared" si="30"/>
        <v>0.17461850855273564</v>
      </c>
      <c r="J183" s="106">
        <f t="shared" si="30"/>
        <v>0.19642298304958183</v>
      </c>
      <c r="K183" s="107">
        <f t="shared" si="30"/>
        <v>0.218075651107007</v>
      </c>
      <c r="L183" s="83">
        <f t="shared" si="34"/>
        <v>-8.8078489494457202E-182</v>
      </c>
      <c r="M183" s="83">
        <f t="shared" si="33"/>
        <v>0.8398546992241358</v>
      </c>
      <c r="N183" s="83">
        <f t="shared" si="35"/>
        <v>5.2018475464628439E-20</v>
      </c>
    </row>
    <row r="184" spans="1:14">
      <c r="A184" s="81">
        <f t="shared" si="31"/>
        <v>5</v>
      </c>
      <c r="B184" s="81">
        <f t="shared" si="32"/>
        <v>1064</v>
      </c>
      <c r="C184" s="82">
        <f t="shared" si="27"/>
        <v>32.618982303088075</v>
      </c>
      <c r="D184" s="83">
        <f t="shared" si="28"/>
        <v>6.3658060959740803E-2</v>
      </c>
      <c r="E184" s="105">
        <f t="shared" si="30"/>
        <v>8.5888699022327986E-2</v>
      </c>
      <c r="F184" s="106">
        <f t="shared" si="30"/>
        <v>0.1080523417403414</v>
      </c>
      <c r="G184" s="106">
        <f t="shared" si="30"/>
        <v>0.13013189245641099</v>
      </c>
      <c r="H184" s="106">
        <f t="shared" si="30"/>
        <v>0.15211045079368035</v>
      </c>
      <c r="I184" s="106">
        <f t="shared" si="30"/>
        <v>0.17397135144050591</v>
      </c>
      <c r="J184" s="106">
        <f t="shared" si="30"/>
        <v>0.19569820202354204</v>
      </c>
      <c r="K184" s="107">
        <f t="shared" si="30"/>
        <v>0.21727491992590831</v>
      </c>
      <c r="L184" s="83">
        <f t="shared" si="34"/>
        <v>-3.3369096921422389E-183</v>
      </c>
      <c r="M184" s="83">
        <f t="shared" si="33"/>
        <v>0.83827477108917625</v>
      </c>
      <c r="N184" s="83">
        <f t="shared" si="35"/>
        <v>3.7159332572607457E-20</v>
      </c>
    </row>
    <row r="185" spans="1:14">
      <c r="A185" s="81">
        <f t="shared" si="31"/>
        <v>5</v>
      </c>
      <c r="B185" s="81">
        <f t="shared" si="32"/>
        <v>1072</v>
      </c>
      <c r="C185" s="82">
        <f t="shared" si="27"/>
        <v>32.741380644211887</v>
      </c>
      <c r="D185" s="83">
        <f t="shared" si="28"/>
        <v>6.3420588377103737E-2</v>
      </c>
      <c r="E185" s="105">
        <f t="shared" si="30"/>
        <v>8.5568854171787834E-2</v>
      </c>
      <c r="F185" s="106">
        <f t="shared" si="30"/>
        <v>0.10765087019871178</v>
      </c>
      <c r="G185" s="106">
        <f t="shared" si="30"/>
        <v>0.12964972794991736</v>
      </c>
      <c r="H185" s="106">
        <f t="shared" si="30"/>
        <v>0.15154871157956307</v>
      </c>
      <c r="I185" s="106">
        <f t="shared" si="30"/>
        <v>0.17333133598573358</v>
      </c>
      <c r="J185" s="106">
        <f t="shared" si="30"/>
        <v>0.19498138400400955</v>
      </c>
      <c r="K185" s="107">
        <f t="shared" si="30"/>
        <v>0.21648294257307388</v>
      </c>
      <c r="L185" s="83">
        <f t="shared" si="34"/>
        <v>-1.2642109279222997E-184</v>
      </c>
      <c r="M185" s="83">
        <f t="shared" si="33"/>
        <v>0.83670101959752774</v>
      </c>
      <c r="N185" s="83">
        <f t="shared" si="35"/>
        <v>2.6544722522300062E-20</v>
      </c>
    </row>
    <row r="186" spans="1:14">
      <c r="A186" s="81">
        <f t="shared" si="31"/>
        <v>5</v>
      </c>
      <c r="B186" s="81">
        <f t="shared" si="32"/>
        <v>1080</v>
      </c>
      <c r="C186" s="82">
        <f t="shared" si="27"/>
        <v>32.863323119994618</v>
      </c>
      <c r="D186" s="83">
        <f t="shared" si="28"/>
        <v>6.3185753746134887E-2</v>
      </c>
      <c r="E186" s="105">
        <f t="shared" si="30"/>
        <v>8.5252556146566905E-2</v>
      </c>
      <c r="F186" s="106">
        <f t="shared" si="30"/>
        <v>0.10725384062906751</v>
      </c>
      <c r="G186" s="106">
        <f t="shared" si="30"/>
        <v>0.12917288340975941</v>
      </c>
      <c r="H186" s="106">
        <f t="shared" si="30"/>
        <v>0.15099314984118473</v>
      </c>
      <c r="I186" s="106">
        <f t="shared" si="30"/>
        <v>0.17269833180892702</v>
      </c>
      <c r="J186" s="106">
        <f t="shared" si="30"/>
        <v>0.19427238426259619</v>
      </c>
      <c r="K186" s="107">
        <f t="shared" si="30"/>
        <v>0.21569956074492813</v>
      </c>
      <c r="L186" s="83">
        <f t="shared" si="34"/>
        <v>-4.7895553582780272E-186</v>
      </c>
      <c r="M186" s="83">
        <f t="shared" si="33"/>
        <v>0.83513346025209101</v>
      </c>
      <c r="N186" s="83">
        <f t="shared" si="35"/>
        <v>1.896218917304577E-20</v>
      </c>
    </row>
    <row r="187" spans="1:14">
      <c r="A187" s="81">
        <f t="shared" si="31"/>
        <v>5</v>
      </c>
      <c r="B187" s="81">
        <f t="shared" si="32"/>
        <v>1088</v>
      </c>
      <c r="C187" s="82">
        <f t="shared" si="27"/>
        <v>32.984814786340287</v>
      </c>
      <c r="D187" s="83">
        <f t="shared" si="28"/>
        <v>6.2953508586590656E-2</v>
      </c>
      <c r="E187" s="105">
        <f t="shared" si="30"/>
        <v>8.4939739875499409E-2</v>
      </c>
      <c r="F187" s="106">
        <f t="shared" si="30"/>
        <v>0.10686117172055321</v>
      </c>
      <c r="G187" s="106">
        <f t="shared" si="30"/>
        <v>0.12870126172328344</v>
      </c>
      <c r="H187" s="106">
        <f t="shared" si="30"/>
        <v>0.15044365318561459</v>
      </c>
      <c r="I187" s="106">
        <f t="shared" si="30"/>
        <v>0.17207221183842503</v>
      </c>
      <c r="J187" s="106">
        <f t="shared" si="30"/>
        <v>0.19357106172634597</v>
      </c>
      <c r="K187" s="107">
        <f t="shared" si="30"/>
        <v>0.21492462011590674</v>
      </c>
      <c r="L187" s="83">
        <f t="shared" si="34"/>
        <v>-1.8145606985130068E-187</v>
      </c>
      <c r="M187" s="83">
        <f t="shared" si="33"/>
        <v>0.8335721063450714</v>
      </c>
      <c r="N187" s="83">
        <f t="shared" si="35"/>
        <v>1.3545616004548879E-20</v>
      </c>
    </row>
    <row r="188" spans="1:14">
      <c r="A188" s="81">
        <f t="shared" si="31"/>
        <v>5</v>
      </c>
      <c r="B188" s="81">
        <f t="shared" si="32"/>
        <v>1096</v>
      </c>
      <c r="C188" s="82">
        <f t="shared" si="27"/>
        <v>33.105860606381654</v>
      </c>
      <c r="D188" s="83">
        <f t="shared" si="28"/>
        <v>6.2723805656483611E-2</v>
      </c>
      <c r="E188" s="105">
        <f t="shared" si="30"/>
        <v>8.4630341946579257E-2</v>
      </c>
      <c r="F188" s="106">
        <f t="shared" si="30"/>
        <v>0.10647278423090789</v>
      </c>
      <c r="G188" s="106">
        <f t="shared" si="30"/>
        <v>0.12823476824159763</v>
      </c>
      <c r="H188" s="106">
        <f t="shared" si="30"/>
        <v>0.14990011206190168</v>
      </c>
      <c r="I188" s="106">
        <f t="shared" si="30"/>
        <v>0.17145285220328277</v>
      </c>
      <c r="J188" s="106">
        <f t="shared" si="30"/>
        <v>0.19287727885990336</v>
      </c>
      <c r="K188" s="107">
        <f t="shared" si="30"/>
        <v>0.21415797021088157</v>
      </c>
      <c r="L188" s="83">
        <f t="shared" si="34"/>
        <v>-6.8746172118329575E-189</v>
      </c>
      <c r="M188" s="83">
        <f t="shared" si="33"/>
        <v>0.83201696905525369</v>
      </c>
      <c r="N188" s="83">
        <f t="shared" si="35"/>
        <v>9.6762937690499615E-21</v>
      </c>
    </row>
    <row r="189" spans="1:14">
      <c r="A189" s="81">
        <f t="shared" si="31"/>
        <v>5</v>
      </c>
      <c r="B189" s="81">
        <f t="shared" si="32"/>
        <v>1104</v>
      </c>
      <c r="C189" s="82">
        <f t="shared" si="27"/>
        <v>33.226465452846064</v>
      </c>
      <c r="D189" s="83">
        <f t="shared" si="28"/>
        <v>6.2496598911711665E-2</v>
      </c>
      <c r="E189" s="105">
        <f t="shared" si="30"/>
        <v>8.4324300552963694E-2</v>
      </c>
      <c r="F189" s="106">
        <f t="shared" si="30"/>
        <v>0.1060886009192934</v>
      </c>
      <c r="G189" s="106">
        <f t="shared" si="30"/>
        <v>0.1277733106997867</v>
      </c>
      <c r="H189" s="106">
        <f t="shared" si="30"/>
        <v>0.1493624196693486</v>
      </c>
      <c r="I189" s="106">
        <f t="shared" si="30"/>
        <v>0.17084013213036875</v>
      </c>
      <c r="J189" s="106">
        <f t="shared" si="30"/>
        <v>0.19219090155228513</v>
      </c>
      <c r="K189" s="107">
        <f t="shared" si="30"/>
        <v>0.21339946428255141</v>
      </c>
      <c r="L189" s="83">
        <f t="shared" si="34"/>
        <v>-2.6045117927359114E-190</v>
      </c>
      <c r="M189" s="83">
        <f t="shared" si="33"/>
        <v>0.83046805754133013</v>
      </c>
      <c r="N189" s="83">
        <f t="shared" si="35"/>
        <v>6.9122482929910415E-21</v>
      </c>
    </row>
    <row r="190" spans="1:14">
      <c r="A190" s="81">
        <f t="shared" si="31"/>
        <v>5</v>
      </c>
      <c r="B190" s="81">
        <f t="shared" si="32"/>
        <v>1112</v>
      </c>
      <c r="C190" s="82">
        <f t="shared" si="27"/>
        <v>33.346634110344226</v>
      </c>
      <c r="D190" s="83">
        <f t="shared" si="28"/>
        <v>6.2271843467288202E-2</v>
      </c>
      <c r="E190" s="105">
        <f t="shared" si="30"/>
        <v>8.4021555441106344E-2</v>
      </c>
      <c r="F190" s="106">
        <f t="shared" si="30"/>
        <v>0.10570854648176753</v>
      </c>
      <c r="G190" s="106">
        <f t="shared" si="30"/>
        <v>0.12731679914026417</v>
      </c>
      <c r="H190" s="106">
        <f t="shared" si="30"/>
        <v>0.14883047186937692</v>
      </c>
      <c r="I190" s="106">
        <f t="shared" si="30"/>
        <v>0.17023393384547525</v>
      </c>
      <c r="J190" s="106">
        <f t="shared" si="30"/>
        <v>0.1915117990080546</v>
      </c>
      <c r="K190" s="107">
        <f t="shared" si="30"/>
        <v>0.2126489591935683</v>
      </c>
      <c r="L190" s="83">
        <f t="shared" si="34"/>
        <v>-9.8674511950021438E-192</v>
      </c>
      <c r="M190" s="83">
        <f t="shared" si="33"/>
        <v>0.82892537903145658</v>
      </c>
      <c r="N190" s="83">
        <f t="shared" si="35"/>
        <v>4.9377558809532664E-21</v>
      </c>
    </row>
    <row r="191" spans="1:14">
      <c r="A191" s="81">
        <f t="shared" si="31"/>
        <v>5</v>
      </c>
      <c r="B191" s="81">
        <f t="shared" si="32"/>
        <v>1120</v>
      </c>
      <c r="C191" s="82">
        <f t="shared" si="27"/>
        <v>33.466371277585097</v>
      </c>
      <c r="D191" s="83">
        <f t="shared" si="28"/>
        <v>6.2049495560093426E-2</v>
      </c>
      <c r="E191" s="105">
        <f t="shared" si="30"/>
        <v>8.3722047860925741E-2</v>
      </c>
      <c r="F191" s="106">
        <f t="shared" si="30"/>
        <v>0.10533254748928167</v>
      </c>
      <c r="G191" s="106">
        <f t="shared" si="30"/>
        <v>0.12686514583911301</v>
      </c>
      <c r="H191" s="106">
        <f t="shared" si="30"/>
        <v>0.14830416710082028</v>
      </c>
      <c r="I191" s="106">
        <f t="shared" si="30"/>
        <v>0.16963414247825903</v>
      </c>
      <c r="J191" s="106">
        <f t="shared" si="30"/>
        <v>0.19083984364268813</v>
      </c>
      <c r="K191" s="107">
        <f t="shared" si="30"/>
        <v>0.21190631530318793</v>
      </c>
      <c r="L191" s="83">
        <f t="shared" si="34"/>
        <v>-3.7383896011512401E-193</v>
      </c>
      <c r="M191" s="83">
        <f t="shared" si="33"/>
        <v>0.82738893890918352</v>
      </c>
      <c r="N191" s="83">
        <f t="shared" si="35"/>
        <v>3.527279707907911E-21</v>
      </c>
    </row>
    <row r="192" spans="1:14">
      <c r="A192" s="81">
        <f t="shared" si="31"/>
        <v>5</v>
      </c>
      <c r="B192" s="81">
        <f t="shared" si="32"/>
        <v>1128</v>
      </c>
      <c r="C192" s="82">
        <f t="shared" si="27"/>
        <v>33.585681569519664</v>
      </c>
      <c r="D192" s="83">
        <f t="shared" si="28"/>
        <v>6.1829512513076779E-2</v>
      </c>
      <c r="E192" s="105">
        <f t="shared" si="30"/>
        <v>8.3425720517913193E-2</v>
      </c>
      <c r="F192" s="106">
        <f t="shared" si="30"/>
        <v>0.10496053232808844</v>
      </c>
      <c r="G192" s="106">
        <f t="shared" si="30"/>
        <v>0.12641826523528055</v>
      </c>
      <c r="H192" s="106">
        <f t="shared" si="30"/>
        <v>0.14778340629848818</v>
      </c>
      <c r="I192" s="106">
        <f t="shared" si="30"/>
        <v>0.16904064597084001</v>
      </c>
      <c r="J192" s="106">
        <f t="shared" si="30"/>
        <v>0.19017491098195172</v>
      </c>
      <c r="K192" s="107">
        <f t="shared" si="30"/>
        <v>0.21117139635823645</v>
      </c>
      <c r="L192" s="83">
        <f t="shared" si="34"/>
        <v>-1.4163321269306603E-194</v>
      </c>
      <c r="M192" s="83">
        <f t="shared" si="33"/>
        <v>0.82585874079591326</v>
      </c>
      <c r="N192" s="83">
        <f t="shared" si="35"/>
        <v>2.5197078263449844E-21</v>
      </c>
    </row>
    <row r="193" spans="1:14">
      <c r="A193" s="81">
        <f t="shared" si="31"/>
        <v>5</v>
      </c>
      <c r="B193" s="81">
        <f t="shared" si="32"/>
        <v>1136</v>
      </c>
      <c r="C193" s="82">
        <f t="shared" si="27"/>
        <v>33.704569519416395</v>
      </c>
      <c r="D193" s="83">
        <f t="shared" si="28"/>
        <v>6.1611852700848457E-2</v>
      </c>
      <c r="E193" s="105">
        <f t="shared" si="30"/>
        <v>8.3132517527093386E-2</v>
      </c>
      <c r="F193" s="106">
        <f t="shared" si="30"/>
        <v>0.10459243114244687</v>
      </c>
      <c r="G193" s="106">
        <f t="shared" si="30"/>
        <v>0.12597607386249865</v>
      </c>
      <c r="H193" s="106">
        <f t="shared" si="30"/>
        <v>0.14726809281485354</v>
      </c>
      <c r="I193" s="106">
        <f t="shared" si="30"/>
        <v>0.16845333498989024</v>
      </c>
      <c r="J193" s="106">
        <f t="shared" si="30"/>
        <v>0.18951687956510344</v>
      </c>
      <c r="K193" s="107">
        <f t="shared" si="30"/>
        <v>0.2104440693882057</v>
      </c>
      <c r="L193" s="83">
        <f t="shared" si="34"/>
        <v>-5.3659507603257711E-196</v>
      </c>
      <c r="M193" s="83">
        <f t="shared" si="33"/>
        <v>0.82433478663001925</v>
      </c>
      <c r="N193" s="83">
        <f t="shared" si="35"/>
        <v>1.7999501190422653E-21</v>
      </c>
    </row>
    <row r="194" spans="1:14">
      <c r="A194" s="81">
        <f t="shared" si="31"/>
        <v>5</v>
      </c>
      <c r="B194" s="81">
        <f t="shared" si="32"/>
        <v>1144</v>
      </c>
      <c r="C194" s="82">
        <f t="shared" si="27"/>
        <v>33.823039580871097</v>
      </c>
      <c r="D194" s="83">
        <f t="shared" si="28"/>
        <v>6.1396475516592552E-2</v>
      </c>
      <c r="E194" s="105">
        <f t="shared" si="30"/>
        <v>8.2842384368750022E-2</v>
      </c>
      <c r="F194" s="106">
        <f t="shared" si="30"/>
        <v>0.1042281757795227</v>
      </c>
      <c r="G194" s="106">
        <f t="shared" si="30"/>
        <v>0.12553849028380393</v>
      </c>
      <c r="H194" s="106">
        <f t="shared" si="30"/>
        <v>0.14675813234471957</v>
      </c>
      <c r="I194" s="106">
        <f t="shared" si="30"/>
        <v>0.16787210284205822</v>
      </c>
      <c r="J194" s="106">
        <f t="shared" si="30"/>
        <v>0.18886563085175156</v>
      </c>
      <c r="K194" s="107">
        <f t="shared" si="30"/>
        <v>0.2097242046042882</v>
      </c>
      <c r="L194" s="83">
        <f t="shared" si="34"/>
        <v>-2.0329623890463566E-197</v>
      </c>
      <c r="M194" s="83">
        <f t="shared" si="33"/>
        <v>0.82281707674277071</v>
      </c>
      <c r="N194" s="83">
        <f t="shared" si="35"/>
        <v>1.2857921054044715E-21</v>
      </c>
    </row>
    <row r="195" spans="1:14">
      <c r="A195" s="81">
        <f t="shared" si="31"/>
        <v>5</v>
      </c>
      <c r="B195" s="81">
        <f t="shared" si="32"/>
        <v>1152</v>
      </c>
      <c r="C195" s="82">
        <f t="shared" si="27"/>
        <v>33.941096129753575</v>
      </c>
      <c r="D195" s="83">
        <f t="shared" si="28"/>
        <v>6.1183341340242947E-2</v>
      </c>
      <c r="E195" s="105">
        <f t="shared" si="30"/>
        <v>8.2555267845841218E-2</v>
      </c>
      <c r="F195" s="106">
        <f t="shared" si="30"/>
        <v>0.10386769973638499</v>
      </c>
      <c r="G195" s="106">
        <f t="shared" si="30"/>
        <v>0.12510543502854077</v>
      </c>
      <c r="H195" s="106">
        <f t="shared" si="30"/>
        <v>0.14625343285274051</v>
      </c>
      <c r="I195" s="106">
        <f t="shared" si="30"/>
        <v>0.16729684539258094</v>
      </c>
      <c r="J195" s="106">
        <f t="shared" si="30"/>
        <v>0.18822104913220716</v>
      </c>
      <c r="K195" s="107">
        <f t="shared" si="30"/>
        <v>0.20901167530218379</v>
      </c>
      <c r="L195" s="83">
        <f t="shared" si="34"/>
        <v>-7.7021707193227472E-199</v>
      </c>
      <c r="M195" s="83">
        <f t="shared" si="33"/>
        <v>0.82130560993118262</v>
      </c>
      <c r="N195" s="83">
        <f t="shared" si="35"/>
        <v>9.1850397454356026E-22</v>
      </c>
    </row>
    <row r="196" spans="1:14">
      <c r="A196" s="81">
        <f t="shared" si="31"/>
        <v>5</v>
      </c>
      <c r="B196" s="81">
        <f t="shared" si="32"/>
        <v>1160</v>
      </c>
      <c r="C196" s="82">
        <f t="shared" ref="C196:C259" si="36">IF((B196-$C$13/$C$16*A196)&gt;0,SQRT(B196-$C$13/$C$16*A196),0)</f>
        <v>34.058743466093588</v>
      </c>
      <c r="D196" s="83">
        <f t="shared" ref="D196:D259" si="37">IF(C196&gt;0,$C$9*(EXP(-$C$12*$B196/$C$14)-EXP(-$C$12*$A196/$C$16)*EXP(-$C$12*$C196^2/$C$14)*2*NORMSDIST(-$C$13*$A196/$C$16/(2*$C$36*$C196)*SQRT(2))),$C$9*EXP(-$C$12*$B196/$C$14))</f>
        <v>6.0972411507867141E-2</v>
      </c>
      <c r="E196" s="105">
        <f t="shared" ref="E196:K227" si="38">IF($C196&gt;0,$C$9*(EXP(-$C$12*$B196/$C$14)-EXP(-$C$12*$A196/$C$16)*EXP(-$C$12*$C196^2/$C$14)*2*NORMSDIST(-($C$13*$A196/$C$16/$C$36+$C$38*E$50)/(2*$C196)*SQRT(2))),$C$9*EXP(-$C$12*$B196/$C$14))</f>
        <v>8.227111604302717E-2</v>
      </c>
      <c r="F196" s="106">
        <f t="shared" si="38"/>
        <v>0.10351093810900536</v>
      </c>
      <c r="G196" s="106">
        <f t="shared" si="38"/>
        <v>0.12467683053174072</v>
      </c>
      <c r="H196" s="106">
        <f t="shared" si="38"/>
        <v>0.14575390450365977</v>
      </c>
      <c r="I196" s="106">
        <f t="shared" si="38"/>
        <v>0.16672746098693869</v>
      </c>
      <c r="J196" s="106">
        <f t="shared" si="38"/>
        <v>0.18758302144117645</v>
      </c>
      <c r="K196" s="107">
        <f t="shared" si="38"/>
        <v>0.20830635776850714</v>
      </c>
      <c r="L196" s="83">
        <f t="shared" si="34"/>
        <v>-2.91808623383925E-200</v>
      </c>
      <c r="M196" s="83">
        <f t="shared" si="33"/>
        <v>0.81980038352792839</v>
      </c>
      <c r="N196" s="83">
        <f t="shared" si="35"/>
        <v>6.5613215986181885E-22</v>
      </c>
    </row>
    <row r="197" spans="1:14">
      <c r="A197" s="81">
        <f t="shared" si="31"/>
        <v>5</v>
      </c>
      <c r="B197" s="81">
        <f t="shared" si="32"/>
        <v>1168</v>
      </c>
      <c r="C197" s="82">
        <f t="shared" si="36"/>
        <v>34.175985815908412</v>
      </c>
      <c r="D197" s="83">
        <f t="shared" si="37"/>
        <v>6.0763648282203597E-2</v>
      </c>
      <c r="E197" s="105">
        <f t="shared" si="38"/>
        <v>8.1989878287237916E-2</v>
      </c>
      <c r="F197" s="106">
        <f t="shared" si="38"/>
        <v>0.10315782754316971</v>
      </c>
      <c r="G197" s="106">
        <f t="shared" si="38"/>
        <v>0.12425260107576941</v>
      </c>
      <c r="H197" s="106">
        <f t="shared" si="38"/>
        <v>0.14525945959515307</v>
      </c>
      <c r="I197" s="106">
        <f t="shared" si="38"/>
        <v>0.16616385037542503</v>
      </c>
      <c r="J197" s="106">
        <f t="shared" si="38"/>
        <v>0.18695143747464837</v>
      </c>
      <c r="K197" s="107">
        <f t="shared" si="38"/>
        <v>0.20760813119064325</v>
      </c>
      <c r="L197" s="83">
        <f t="shared" si="34"/>
        <v>-1.1055651350599095E-201</v>
      </c>
      <c r="M197" s="83">
        <f t="shared" si="33"/>
        <v>0.81830139346842135</v>
      </c>
      <c r="N197" s="83">
        <f t="shared" si="35"/>
        <v>4.6870718378640879E-22</v>
      </c>
    </row>
    <row r="198" spans="1:14">
      <c r="A198" s="81">
        <f t="shared" si="31"/>
        <v>5</v>
      </c>
      <c r="B198" s="81">
        <f t="shared" si="32"/>
        <v>1176</v>
      </c>
      <c r="C198" s="82">
        <f t="shared" si="36"/>
        <v>34.292827332974063</v>
      </c>
      <c r="D198" s="83">
        <f t="shared" si="37"/>
        <v>6.0557014824299094E-2</v>
      </c>
      <c r="E198" s="105">
        <f t="shared" si="38"/>
        <v>8.1711505109713256E-2</v>
      </c>
      <c r="F198" s="106">
        <f t="shared" si="38"/>
        <v>0.10280830618722181</v>
      </c>
      <c r="G198" s="106">
        <f t="shared" si="38"/>
        <v>0.12383267273414145</v>
      </c>
      <c r="H198" s="106">
        <f t="shared" si="38"/>
        <v>0.14477001249316102</v>
      </c>
      <c r="I198" s="106">
        <f t="shared" si="38"/>
        <v>0.16560591664049928</v>
      </c>
      <c r="J198" s="106">
        <f t="shared" si="38"/>
        <v>0.18632618950983604</v>
      </c>
      <c r="K198" s="107">
        <f t="shared" si="38"/>
        <v>0.20691687756990196</v>
      </c>
      <c r="L198" s="83">
        <f t="shared" si="34"/>
        <v>-4.1886283014294788E-203</v>
      </c>
      <c r="M198" s="83">
        <f t="shared" si="33"/>
        <v>0.8168086343551928</v>
      </c>
      <c r="N198" s="83">
        <f t="shared" si="35"/>
        <v>3.3482038767807656E-22</v>
      </c>
    </row>
    <row r="199" spans="1:14">
      <c r="A199" s="81">
        <f t="shared" si="31"/>
        <v>5</v>
      </c>
      <c r="B199" s="81">
        <f t="shared" si="32"/>
        <v>1184</v>
      </c>
      <c r="C199" s="82">
        <f t="shared" si="36"/>
        <v>34.409272100542509</v>
      </c>
      <c r="D199" s="83">
        <f t="shared" si="37"/>
        <v>6.035247516620279E-2</v>
      </c>
      <c r="E199" s="105">
        <f t="shared" si="38"/>
        <v>8.1435948209451992E-2</v>
      </c>
      <c r="F199" s="106">
        <f t="shared" si="38"/>
        <v>0.102462313646553</v>
      </c>
      <c r="G199" s="106">
        <f t="shared" si="38"/>
        <v>0.12341697331741197</v>
      </c>
      <c r="H199" s="106">
        <f t="shared" si="38"/>
        <v>0.14428547956959914</v>
      </c>
      <c r="I199" s="106">
        <f t="shared" si="38"/>
        <v>0.16505356512680436</v>
      </c>
      <c r="J199" s="106">
        <f t="shared" si="38"/>
        <v>0.18570717232804279</v>
      </c>
      <c r="K199" s="107">
        <f t="shared" si="38"/>
        <v>0.2062324816378247</v>
      </c>
      <c r="L199" s="83">
        <f t="shared" si="34"/>
        <v>-1.5869404470916149E-204</v>
      </c>
      <c r="M199" s="83">
        <f t="shared" si="33"/>
        <v>0.81532209951966328</v>
      </c>
      <c r="N199" s="83">
        <f t="shared" si="35"/>
        <v>2.3917852314374413E-22</v>
      </c>
    </row>
    <row r="200" spans="1:14">
      <c r="A200" s="81">
        <f t="shared" si="31"/>
        <v>5</v>
      </c>
      <c r="B200" s="81">
        <f t="shared" si="32"/>
        <v>1192</v>
      </c>
      <c r="C200" s="82">
        <f t="shared" si="36"/>
        <v>34.52532413300667</v>
      </c>
      <c r="D200" s="83">
        <f t="shared" si="37"/>
        <v>6.014999418466549E-2</v>
      </c>
      <c r="E200" s="105">
        <f t="shared" si="38"/>
        <v>8.1163160418007196E-2</v>
      </c>
      <c r="F200" s="106">
        <f t="shared" si="38"/>
        <v>0.10211979093976842</v>
      </c>
      <c r="G200" s="106">
        <f t="shared" si="38"/>
        <v>0.12300543232105032</v>
      </c>
      <c r="H200" s="106">
        <f t="shared" si="38"/>
        <v>0.14380577914234816</v>
      </c>
      <c r="I200" s="106">
        <f t="shared" si="38"/>
        <v>0.1645067033737333</v>
      </c>
      <c r="J200" s="106">
        <f t="shared" si="38"/>
        <v>0.18509428314032617</v>
      </c>
      <c r="K200" s="107">
        <f t="shared" si="38"/>
        <v>0.20555483077551817</v>
      </c>
      <c r="L200" s="83">
        <f t="shared" si="34"/>
        <v>-6.0124405375660782E-206</v>
      </c>
      <c r="M200" s="83">
        <f t="shared" si="33"/>
        <v>0.81384178108142224</v>
      </c>
      <c r="N200" s="83">
        <f t="shared" si="35"/>
        <v>1.7085687741400435E-22</v>
      </c>
    </row>
    <row r="201" spans="1:14">
      <c r="A201" s="81">
        <f t="shared" si="31"/>
        <v>5</v>
      </c>
      <c r="B201" s="81">
        <f t="shared" si="32"/>
        <v>1200</v>
      </c>
      <c r="C201" s="82">
        <f t="shared" si="36"/>
        <v>34.64098737751528</v>
      </c>
      <c r="D201" s="83">
        <f t="shared" si="37"/>
        <v>5.9949537575803458E-2</v>
      </c>
      <c r="E201" s="105">
        <f t="shared" si="38"/>
        <v>8.0893095665569792E-2</v>
      </c>
      <c r="F201" s="106">
        <f t="shared" si="38"/>
        <v>0.10178068045645161</v>
      </c>
      <c r="G201" s="106">
        <f t="shared" si="38"/>
        <v>0.1225979808752149</v>
      </c>
      <c r="H201" s="106">
        <f t="shared" si="38"/>
        <v>0.14333083141742087</v>
      </c>
      <c r="I201" s="106">
        <f t="shared" si="38"/>
        <v>0.16396524105043664</v>
      </c>
      <c r="J201" s="106">
        <f t="shared" si="38"/>
        <v>0.18448742151584052</v>
      </c>
      <c r="K201" s="107">
        <f t="shared" si="38"/>
        <v>0.20488381493587715</v>
      </c>
      <c r="L201" s="83">
        <f t="shared" si="34"/>
        <v>-2.2779403940897417E-207</v>
      </c>
      <c r="M201" s="83">
        <f t="shared" si="33"/>
        <v>0.81236767000511545</v>
      </c>
      <c r="N201" s="83">
        <f t="shared" si="35"/>
        <v>1.2205139565194216E-22</v>
      </c>
    </row>
    <row r="202" spans="1:14">
      <c r="A202" s="81">
        <f t="shared" si="31"/>
        <v>5</v>
      </c>
      <c r="B202" s="81">
        <f t="shared" si="32"/>
        <v>1208</v>
      </c>
      <c r="C202" s="82">
        <f t="shared" si="36"/>
        <v>34.756265715539307</v>
      </c>
      <c r="D202" s="83">
        <f t="shared" si="37"/>
        <v>5.9751071830687508E-2</v>
      </c>
      <c r="E202" s="105">
        <f t="shared" si="38"/>
        <v>8.0625708948286468E-2</v>
      </c>
      <c r="F202" s="106">
        <f t="shared" si="38"/>
        <v>0.10144492591646381</v>
      </c>
      <c r="G202" s="106">
        <f t="shared" si="38"/>
        <v>0.12219455169634408</v>
      </c>
      <c r="H202" s="106">
        <f t="shared" si="38"/>
        <v>0.14286055843321965</v>
      </c>
      <c r="I202" s="106">
        <f t="shared" si="38"/>
        <v>0.16342908989316629</v>
      </c>
      <c r="J202" s="106">
        <f t="shared" si="38"/>
        <v>0.18388648931274632</v>
      </c>
      <c r="K202" s="107">
        <f t="shared" si="38"/>
        <v>0.20421932656858099</v>
      </c>
      <c r="L202" s="83">
        <f t="shared" si="34"/>
        <v>-8.6304879518489073E-209</v>
      </c>
      <c r="M202" s="83">
        <f t="shared" si="33"/>
        <v>0.81089975615503551</v>
      </c>
      <c r="N202" s="83">
        <f t="shared" si="35"/>
        <v>8.7187261092750242E-23</v>
      </c>
    </row>
    <row r="203" spans="1:14">
      <c r="A203" s="81">
        <f t="shared" si="31"/>
        <v>5</v>
      </c>
      <c r="B203" s="81">
        <f t="shared" si="32"/>
        <v>1216</v>
      </c>
      <c r="C203" s="82">
        <f t="shared" si="36"/>
        <v>34.871162964391836</v>
      </c>
      <c r="D203" s="83">
        <f t="shared" si="37"/>
        <v>5.9554564211811156E-2</v>
      </c>
      <c r="E203" s="105">
        <f t="shared" si="38"/>
        <v>8.036095629675688E-2</v>
      </c>
      <c r="F203" s="106">
        <f t="shared" si="38"/>
        <v>0.10111247233070975</v>
      </c>
      <c r="G203" s="106">
        <f t="shared" si="38"/>
        <v>0.12179507904048936</v>
      </c>
      <c r="H203" s="106">
        <f t="shared" si="38"/>
        <v>0.14239488400678835</v>
      </c>
      <c r="I203" s="106">
        <f t="shared" si="38"/>
        <v>0.1628981636448581</v>
      </c>
      <c r="J203" s="106">
        <f t="shared" si="38"/>
        <v>0.18329139061157629</v>
      </c>
      <c r="K203" s="107">
        <f t="shared" si="38"/>
        <v>0.20356126054774548</v>
      </c>
      <c r="L203" s="83">
        <f t="shared" si="34"/>
        <v>-3.2698649275244684E-210</v>
      </c>
      <c r="M203" s="83">
        <f t="shared" si="33"/>
        <v>0.80943802834750311</v>
      </c>
      <c r="N203" s="83">
        <f t="shared" si="35"/>
        <v>6.2282110386784736E-23</v>
      </c>
    </row>
    <row r="204" spans="1:14">
      <c r="A204" s="81">
        <f t="shared" si="31"/>
        <v>5</v>
      </c>
      <c r="B204" s="81">
        <f t="shared" si="32"/>
        <v>1224</v>
      </c>
      <c r="C204" s="82">
        <f t="shared" si="36"/>
        <v>34.98568287870301</v>
      </c>
      <c r="D204" s="83">
        <f t="shared" si="37"/>
        <v>5.9359982730407213E-2</v>
      </c>
      <c r="E204" s="105">
        <f t="shared" si="38"/>
        <v>8.009879474566084E-2</v>
      </c>
      <c r="F204" s="106">
        <f t="shared" si="38"/>
        <v>0.10078326596330678</v>
      </c>
      <c r="G204" s="106">
        <f t="shared" si="38"/>
        <v>0.12139949865831423</v>
      </c>
      <c r="H204" s="106">
        <f t="shared" si="38"/>
        <v>0.14193373368198126</v>
      </c>
      <c r="I204" s="106">
        <f t="shared" si="38"/>
        <v>0.16237237799685778</v>
      </c>
      <c r="J204" s="106">
        <f t="shared" si="38"/>
        <v>0.18270203165095733</v>
      </c>
      <c r="K204" s="107">
        <f t="shared" si="38"/>
        <v>0.20290951410211955</v>
      </c>
      <c r="L204" s="83">
        <f t="shared" si="34"/>
        <v>-1.2388701135232699E-211</v>
      </c>
      <c r="M204" s="83">
        <f t="shared" si="33"/>
        <v>0.80798247440114102</v>
      </c>
      <c r="N204" s="83">
        <f t="shared" si="35"/>
        <v>4.4491147280164036E-23</v>
      </c>
    </row>
    <row r="205" spans="1:14">
      <c r="A205" s="81">
        <f t="shared" si="31"/>
        <v>5</v>
      </c>
      <c r="B205" s="81">
        <f t="shared" si="32"/>
        <v>1232</v>
      </c>
      <c r="C205" s="82">
        <f t="shared" si="36"/>
        <v>35.099829151851623</v>
      </c>
      <c r="D205" s="83">
        <f t="shared" si="37"/>
        <v>5.9167296124573499E-2</v>
      </c>
      <c r="E205" s="105">
        <f t="shared" si="38"/>
        <v>7.983918230447129E-2</v>
      </c>
      <c r="F205" s="106">
        <f t="shared" si="38"/>
        <v>0.10045725429510322</v>
      </c>
      <c r="G205" s="106">
        <f t="shared" si="38"/>
        <v>0.12100774775169065</v>
      </c>
      <c r="H205" s="106">
        <f t="shared" si="38"/>
        <v>0.14147703467946471</v>
      </c>
      <c r="I205" s="106">
        <f t="shared" si="38"/>
        <v>0.16185165053270212</v>
      </c>
      <c r="J205" s="106">
        <f t="shared" si="38"/>
        <v>0.18211832076558898</v>
      </c>
      <c r="K205" s="107">
        <f t="shared" si="38"/>
        <v>0.20226398674772383</v>
      </c>
      <c r="L205" s="83">
        <f t="shared" si="34"/>
        <v>-4.6937858469435058E-213</v>
      </c>
      <c r="M205" s="83">
        <f t="shared" si="33"/>
        <v>0.80653308118511235</v>
      </c>
      <c r="N205" s="83">
        <f t="shared" si="35"/>
        <v>3.1782195144197358E-23</v>
      </c>
    </row>
    <row r="206" spans="1:14">
      <c r="A206" s="81">
        <f t="shared" si="31"/>
        <v>5</v>
      </c>
      <c r="B206" s="81">
        <f t="shared" si="32"/>
        <v>1240</v>
      </c>
      <c r="C206" s="82">
        <f t="shared" si="36"/>
        <v>35.213605417354991</v>
      </c>
      <c r="D206" s="83">
        <f t="shared" si="37"/>
        <v>5.8976473838175503E-2</v>
      </c>
      <c r="E206" s="105">
        <f t="shared" si="38"/>
        <v>7.9582077929200468E-2</v>
      </c>
      <c r="F206" s="106">
        <f t="shared" si="38"/>
        <v>0.10013438598848357</v>
      </c>
      <c r="G206" s="106">
        <f t="shared" si="38"/>
        <v>0.12061976493182658</v>
      </c>
      <c r="H206" s="106">
        <f t="shared" si="38"/>
        <v>0.14102471584847631</v>
      </c>
      <c r="I206" s="106">
        <f t="shared" si="38"/>
        <v>0.16133590067386994</v>
      </c>
      <c r="J206" s="106">
        <f t="shared" si="38"/>
        <v>0.18154016832638842</v>
      </c>
      <c r="K206" s="107">
        <f t="shared" si="38"/>
        <v>0.20162458022282581</v>
      </c>
      <c r="L206" s="83">
        <f t="shared" si="34"/>
        <v>-1.7783708358406825E-214</v>
      </c>
      <c r="M206" s="83">
        <f t="shared" si="33"/>
        <v>0.80508983466541584</v>
      </c>
      <c r="N206" s="83">
        <f t="shared" si="35"/>
        <v>2.2703571158170368E-23</v>
      </c>
    </row>
    <row r="207" spans="1:14">
      <c r="A207" s="81">
        <f t="shared" si="31"/>
        <v>5</v>
      </c>
      <c r="B207" s="81">
        <f t="shared" si="32"/>
        <v>1248</v>
      </c>
      <c r="C207" s="82">
        <f t="shared" si="36"/>
        <v>35.327015250218537</v>
      </c>
      <c r="D207" s="83">
        <f t="shared" si="37"/>
        <v>5.8787486000490219E-2</v>
      </c>
      <c r="E207" s="105">
        <f t="shared" si="38"/>
        <v>7.9327441495144368E-2</v>
      </c>
      <c r="F207" s="106">
        <f t="shared" si="38"/>
        <v>9.98146108534117E-2</v>
      </c>
      <c r="G207" s="106">
        <f t="shared" si="38"/>
        <v>0.12023549017886026</v>
      </c>
      <c r="H207" s="106">
        <f t="shared" si="38"/>
        <v>0.14057670762027175</v>
      </c>
      <c r="I207" s="106">
        <f t="shared" si="38"/>
        <v>0.16082504962742239</v>
      </c>
      <c r="J207" s="106">
        <f t="shared" si="38"/>
        <v>0.18096748668270823</v>
      </c>
      <c r="K207" s="107">
        <f t="shared" si="38"/>
        <v>0.20099119842516378</v>
      </c>
      <c r="L207" s="83">
        <f t="shared" si="34"/>
        <v>-6.737875372059675E-216</v>
      </c>
      <c r="M207" s="83">
        <f t="shared" si="33"/>
        <v>0.80365271994930931</v>
      </c>
      <c r="N207" s="83">
        <f t="shared" si="35"/>
        <v>1.6218267523545107E-23</v>
      </c>
    </row>
    <row r="208" spans="1:14">
      <c r="A208" s="81">
        <f t="shared" si="31"/>
        <v>5</v>
      </c>
      <c r="B208" s="81">
        <f t="shared" si="32"/>
        <v>1256</v>
      </c>
      <c r="C208" s="82">
        <f t="shared" si="36"/>
        <v>35.440062168246442</v>
      </c>
      <c r="D208" s="83">
        <f t="shared" si="37"/>
        <v>5.8600303406566523E-2</v>
      </c>
      <c r="E208" s="105">
        <f t="shared" si="38"/>
        <v>7.9075233770578013E-2</v>
      </c>
      <c r="F208" s="106">
        <f t="shared" si="38"/>
        <v>9.9497879814658408E-2</v>
      </c>
      <c r="G208" s="106">
        <f t="shared" si="38"/>
        <v>0.11985486480286167</v>
      </c>
      <c r="H208" s="106">
        <f t="shared" si="38"/>
        <v>0.14013294196318515</v>
      </c>
      <c r="I208" s="106">
        <f t="shared" si="38"/>
        <v>0.16031902033545364</v>
      </c>
      <c r="J208" s="106">
        <f t="shared" si="38"/>
        <v>0.18040019010654773</v>
      </c>
      <c r="K208" s="107">
        <f t="shared" si="38"/>
        <v>0.20036374735132156</v>
      </c>
      <c r="L208" s="83">
        <f t="shared" si="34"/>
        <v>-2.5528496407778261E-217</v>
      </c>
      <c r="M208" s="83">
        <f t="shared" si="33"/>
        <v>0.80222172132793856</v>
      </c>
      <c r="N208" s="83">
        <f t="shared" si="35"/>
        <v>1.1585499022721729E-23</v>
      </c>
    </row>
    <row r="209" spans="1:14">
      <c r="A209" s="81">
        <f t="shared" si="31"/>
        <v>5</v>
      </c>
      <c r="B209" s="81">
        <f t="shared" si="32"/>
        <v>1264</v>
      </c>
      <c r="C209" s="82">
        <f t="shared" si="36"/>
        <v>35.552749633314903</v>
      </c>
      <c r="D209" s="83">
        <f t="shared" si="37"/>
        <v>5.8414897498265894E-2</v>
      </c>
      <c r="E209" s="105">
        <f t="shared" si="38"/>
        <v>7.8825416391364866E-2</v>
      </c>
      <c r="F209" s="106">
        <f t="shared" si="38"/>
        <v>9.9184144880166025E-2</v>
      </c>
      <c r="G209" s="106">
        <f t="shared" si="38"/>
        <v>0.11947783140618307</v>
      </c>
      <c r="H209" s="106">
        <f t="shared" si="38"/>
        <v>0.13969335233924163</v>
      </c>
      <c r="I209" s="106">
        <f t="shared" si="38"/>
        <v>0.15981773742627992</v>
      </c>
      <c r="J209" s="106">
        <f t="shared" si="38"/>
        <v>0.17983819473867357</v>
      </c>
      <c r="K209" s="107">
        <f t="shared" si="38"/>
        <v>0.19974213503817007</v>
      </c>
      <c r="L209" s="83">
        <f t="shared" si="34"/>
        <v>-9.6722862371515594E-219</v>
      </c>
      <c r="M209" s="83">
        <f t="shared" si="33"/>
        <v>0.8007968223172468</v>
      </c>
      <c r="N209" s="83">
        <f t="shared" si="35"/>
        <v>8.2760866665089118E-24</v>
      </c>
    </row>
    <row r="210" spans="1:14">
      <c r="A210" s="81">
        <f t="shared" si="31"/>
        <v>5</v>
      </c>
      <c r="B210" s="81">
        <f t="shared" si="32"/>
        <v>1272</v>
      </c>
      <c r="C210" s="82">
        <f t="shared" si="36"/>
        <v>35.665081052609047</v>
      </c>
      <c r="D210" s="83">
        <f t="shared" si="37"/>
        <v>5.8231240345960167E-2</v>
      </c>
      <c r="E210" s="105">
        <f t="shared" si="38"/>
        <v>7.8577951836445337E-2</v>
      </c>
      <c r="F210" s="106">
        <f t="shared" si="38"/>
        <v>9.8873359110503323E-2</v>
      </c>
      <c r="G210" s="106">
        <f t="shared" si="38"/>
        <v>0.11910433384710384</v>
      </c>
      <c r="H210" s="106">
        <f t="shared" si="38"/>
        <v>0.13925787366225628</v>
      </c>
      <c r="I210" s="106">
        <f t="shared" si="38"/>
        <v>0.15932112716729785</v>
      </c>
      <c r="J210" s="106">
        <f t="shared" si="38"/>
        <v>0.17928141853657498</v>
      </c>
      <c r="K210" s="107">
        <f t="shared" si="38"/>
        <v>0.19912627150629558</v>
      </c>
      <c r="L210" s="83">
        <f t="shared" si="34"/>
        <v>-3.6646686255645507E-220</v>
      </c>
      <c r="M210" s="83">
        <f t="shared" si="33"/>
        <v>0.79937800569722972</v>
      </c>
      <c r="N210" s="83">
        <f t="shared" si="35"/>
        <v>5.9120121090369892E-24</v>
      </c>
    </row>
    <row r="211" spans="1:14">
      <c r="A211" s="81">
        <f t="shared" si="31"/>
        <v>5</v>
      </c>
      <c r="B211" s="81">
        <f t="shared" si="32"/>
        <v>1280</v>
      </c>
      <c r="C211" s="82">
        <f t="shared" si="36"/>
        <v>35.777059779825017</v>
      </c>
      <c r="D211" s="83">
        <f t="shared" si="37"/>
        <v>5.8049304630859E-2</v>
      </c>
      <c r="E211" s="105">
        <f t="shared" si="38"/>
        <v>7.8332803404163265E-2</v>
      </c>
      <c r="F211" s="106">
        <f t="shared" si="38"/>
        <v>9.8565476589366208E-2</v>
      </c>
      <c r="G211" s="106">
        <f t="shared" si="38"/>
        <v>0.11873431720471816</v>
      </c>
      <c r="H211" s="106">
        <f t="shared" si="38"/>
        <v>0.13882644225736085</v>
      </c>
      <c r="I211" s="106">
        <f t="shared" si="38"/>
        <v>0.1588291174194405</v>
      </c>
      <c r="J211" s="106">
        <f t="shared" si="38"/>
        <v>0.17872978122417771</v>
      </c>
      <c r="K211" s="107">
        <f t="shared" si="38"/>
        <v>0.19851606870532934</v>
      </c>
      <c r="L211" s="83">
        <f t="shared" si="34"/>
        <v>-1.3884874797979694E-221</v>
      </c>
      <c r="M211" s="83">
        <f t="shared" si="33"/>
        <v>0.79796525354960357</v>
      </c>
      <c r="N211" s="83">
        <f t="shared" si="35"/>
        <v>4.2232384200180742E-24</v>
      </c>
    </row>
    <row r="212" spans="1:14">
      <c r="A212" s="81">
        <f t="shared" si="31"/>
        <v>5</v>
      </c>
      <c r="B212" s="81">
        <f t="shared" si="32"/>
        <v>1288</v>
      </c>
      <c r="C212" s="82">
        <f t="shared" si="36"/>
        <v>35.888689116338213</v>
      </c>
      <c r="D212" s="83">
        <f t="shared" si="37"/>
        <v>5.7869063627939532E-2</v>
      </c>
      <c r="E212" s="105">
        <f t="shared" si="38"/>
        <v>7.8089935189402659E-2</v>
      </c>
      <c r="F212" s="106">
        <f t="shared" si="38"/>
        <v>9.8260452395083409E-2</v>
      </c>
      <c r="G212" s="106">
        <f t="shared" si="38"/>
        <v>0.11836772774501481</v>
      </c>
      <c r="H212" s="106">
        <f t="shared" si="38"/>
        <v>0.13839899582190274</v>
      </c>
      <c r="I212" s="106">
        <f t="shared" si="38"/>
        <v>0.15834163759317321</v>
      </c>
      <c r="J212" s="106">
        <f t="shared" si="38"/>
        <v>0.17818320424325118</v>
      </c>
      <c r="K212" s="107">
        <f t="shared" si="38"/>
        <v>0.19791144046111064</v>
      </c>
      <c r="L212" s="83">
        <f t="shared" si="34"/>
        <v>-5.2607896322000645E-223</v>
      </c>
      <c r="M212" s="83">
        <f t="shared" si="33"/>
        <v>0.79655854729395337</v>
      </c>
      <c r="N212" s="83">
        <f t="shared" si="35"/>
        <v>3.0168650576769589E-24</v>
      </c>
    </row>
    <row r="213" spans="1:14">
      <c r="A213" s="81">
        <f t="shared" si="31"/>
        <v>5</v>
      </c>
      <c r="B213" s="81">
        <f t="shared" si="32"/>
        <v>1296</v>
      </c>
      <c r="C213" s="82">
        <f t="shared" si="36"/>
        <v>35.999972312338976</v>
      </c>
      <c r="D213" s="83">
        <f t="shared" si="37"/>
        <v>5.7690491189456461E-2</v>
      </c>
      <c r="E213" s="105">
        <f t="shared" si="38"/>
        <v>7.7849312061497145E-2</v>
      </c>
      <c r="F213" s="106">
        <f t="shared" si="38"/>
        <v>9.7958242573085608E-2</v>
      </c>
      <c r="G213" s="106">
        <f t="shared" si="38"/>
        <v>0.11800451288810132</v>
      </c>
      <c r="H213" s="106">
        <f t="shared" si="38"/>
        <v>0.13797547338765637</v>
      </c>
      <c r="I213" s="106">
        <f t="shared" si="38"/>
        <v>0.15785861860596473</v>
      </c>
      <c r="J213" s="106">
        <f t="shared" si="38"/>
        <v>0.17764161070643691</v>
      </c>
      <c r="K213" s="107">
        <f t="shared" si="38"/>
        <v>0.19731230242460529</v>
      </c>
      <c r="L213" s="83">
        <f t="shared" si="34"/>
        <v>-1.9932493593854989E-224</v>
      </c>
      <c r="M213" s="83">
        <f t="shared" si="33"/>
        <v>0.79515786772241537</v>
      </c>
      <c r="N213" s="83">
        <f t="shared" si="35"/>
        <v>2.1550937624291917E-24</v>
      </c>
    </row>
    <row r="214" spans="1:14">
      <c r="A214" s="81">
        <f t="shared" si="31"/>
        <v>5</v>
      </c>
      <c r="B214" s="81">
        <f t="shared" si="32"/>
        <v>1304</v>
      </c>
      <c r="C214" s="82">
        <f t="shared" si="36"/>
        <v>36.110912567936758</v>
      </c>
      <c r="D214" s="83">
        <f t="shared" si="37"/>
        <v>5.75135617290079E-2</v>
      </c>
      <c r="E214" s="105">
        <f t="shared" si="38"/>
        <v>7.761089964288459E-2</v>
      </c>
      <c r="F214" s="106">
        <f t="shared" si="38"/>
        <v>9.7658804109299613E-2</v>
      </c>
      <c r="G214" s="106">
        <f t="shared" si="38"/>
        <v>0.11764462117652852</v>
      </c>
      <c r="H214" s="106">
        <f t="shared" si="38"/>
        <v>0.13755581528430239</v>
      </c>
      <c r="I214" s="106">
        <f t="shared" si="38"/>
        <v>0.15737999284117477</v>
      </c>
      <c r="J214" s="106">
        <f t="shared" si="38"/>
        <v>0.17710492535183864</v>
      </c>
      <c r="K214" s="107">
        <f t="shared" si="38"/>
        <v>0.19671857202251375</v>
      </c>
      <c r="L214" s="83">
        <f t="shared" si="34"/>
        <v>-7.5522103852664255E-226</v>
      </c>
      <c r="M214" s="83">
        <f t="shared" si="33"/>
        <v>0.79376319503295822</v>
      </c>
      <c r="N214" s="83">
        <f t="shared" si="35"/>
        <v>1.5394885207220608E-24</v>
      </c>
    </row>
    <row r="215" spans="1:14">
      <c r="A215" s="81">
        <f t="shared" si="31"/>
        <v>5</v>
      </c>
      <c r="B215" s="81">
        <f t="shared" si="32"/>
        <v>1312</v>
      </c>
      <c r="C215" s="82">
        <f t="shared" si="36"/>
        <v>36.221513034233851</v>
      </c>
      <c r="D215" s="83">
        <f t="shared" si="37"/>
        <v>5.7338250206135921E-2</v>
      </c>
      <c r="E215" s="105">
        <f t="shared" si="38"/>
        <v>7.7374664288477168E-2</v>
      </c>
      <c r="F215" s="106">
        <f t="shared" si="38"/>
        <v>9.736209490443315E-2</v>
      </c>
      <c r="G215" s="106">
        <f t="shared" si="38"/>
        <v>0.11728800224467029</v>
      </c>
      <c r="H215" s="106">
        <f t="shared" si="38"/>
        <v>0.13713996310411858</v>
      </c>
      <c r="I215" s="106">
        <f t="shared" si="38"/>
        <v>0.15690569410830713</v>
      </c>
      <c r="J215" s="106">
        <f t="shared" si="38"/>
        <v>0.17657307449911031</v>
      </c>
      <c r="K215" s="107">
        <f t="shared" si="38"/>
        <v>0.1961301684095047</v>
      </c>
      <c r="L215" s="83">
        <f t="shared" si="34"/>
        <v>-2.8614640464433682E-227</v>
      </c>
      <c r="M215" s="83">
        <f t="shared" si="33"/>
        <v>0.79237450886131811</v>
      </c>
      <c r="N215" s="83">
        <f t="shared" si="35"/>
        <v>1.099731689986212E-24</v>
      </c>
    </row>
    <row r="216" spans="1:14">
      <c r="A216" s="81">
        <f t="shared" si="31"/>
        <v>5</v>
      </c>
      <c r="B216" s="81">
        <f t="shared" si="32"/>
        <v>1320</v>
      </c>
      <c r="C216" s="82">
        <f t="shared" si="36"/>
        <v>36.331776814369718</v>
      </c>
      <c r="D216" s="83">
        <f t="shared" si="37"/>
        <v>5.7164532111439126E-2</v>
      </c>
      <c r="E216" s="105">
        <f t="shared" si="38"/>
        <v>7.7140573065715978E-2</v>
      </c>
      <c r="F216" s="106">
        <f t="shared" si="38"/>
        <v>9.7068073749112083E-2</v>
      </c>
      <c r="G216" s="106">
        <f t="shared" si="38"/>
        <v>0.11693460678911816</v>
      </c>
      <c r="H216" s="106">
        <f t="shared" si="38"/>
        <v>0.13672785966783829</v>
      </c>
      <c r="I216" s="106">
        <f t="shared" si="38"/>
        <v>0.15643565760456823</v>
      </c>
      <c r="J216" s="106">
        <f t="shared" si="38"/>
        <v>0.17604598600698651</v>
      </c>
      <c r="K216" s="107">
        <f t="shared" si="38"/>
        <v>0.19554701242200601</v>
      </c>
      <c r="L216" s="83">
        <f t="shared" si="34"/>
        <v>-1.0841872389031102E-228</v>
      </c>
      <c r="M216" s="83">
        <f t="shared" si="33"/>
        <v>0.79099178831163552</v>
      </c>
      <c r="N216" s="83">
        <f t="shared" si="35"/>
        <v>7.8559195062571386E-25</v>
      </c>
    </row>
    <row r="217" spans="1:14">
      <c r="A217" s="81">
        <f t="shared" si="31"/>
        <v>5</v>
      </c>
      <c r="B217" s="81">
        <f t="shared" si="32"/>
        <v>1328</v>
      </c>
      <c r="C217" s="82">
        <f t="shared" si="36"/>
        <v>36.441706964536841</v>
      </c>
      <c r="D217" s="83">
        <f t="shared" si="37"/>
        <v>5.6992383452181272E-2</v>
      </c>
      <c r="E217" s="105">
        <f t="shared" si="38"/>
        <v>7.69085937352878E-2</v>
      </c>
      <c r="F217" s="106">
        <f t="shared" si="38"/>
        <v>9.6776700299840979E-2</v>
      </c>
      <c r="G217" s="106">
        <f t="shared" si="38"/>
        <v>0.11658438654005199</v>
      </c>
      <c r="H217" s="106">
        <f t="shared" si="38"/>
        <v>0.13631944899163151</v>
      </c>
      <c r="I217" s="106">
        <f t="shared" si="38"/>
        <v>0.15596981987768732</v>
      </c>
      <c r="J217" s="106">
        <f t="shared" si="38"/>
        <v>0.17552358923219691</v>
      </c>
      <c r="K217" s="107">
        <f t="shared" si="38"/>
        <v>0.19496902653350112</v>
      </c>
      <c r="L217" s="83">
        <f t="shared" si="34"/>
        <v>-4.1079210571626826E-230</v>
      </c>
      <c r="M217" s="83">
        <f t="shared" si="33"/>
        <v>0.78961501198585671</v>
      </c>
      <c r="N217" s="83">
        <f t="shared" si="35"/>
        <v>5.6118662261669235E-25</v>
      </c>
    </row>
    <row r="218" spans="1:14">
      <c r="A218" s="81">
        <f t="shared" si="31"/>
        <v>5</v>
      </c>
      <c r="B218" s="81">
        <f t="shared" si="32"/>
        <v>1336</v>
      </c>
      <c r="C218" s="82">
        <f t="shared" si="36"/>
        <v>36.551306494969133</v>
      </c>
      <c r="D218" s="83">
        <f t="shared" si="37"/>
        <v>5.6821780738369743E-2</v>
      </c>
      <c r="E218" s="105">
        <f t="shared" si="38"/>
        <v>7.6678694732473351E-2</v>
      </c>
      <c r="F218" s="106">
        <f t="shared" si="38"/>
        <v>9.6487935055749485E-2</v>
      </c>
      <c r="G218" s="106">
        <f t="shared" si="38"/>
        <v>0.11623729423354723</v>
      </c>
      <c r="H218" s="106">
        <f t="shared" si="38"/>
        <v>0.13591467625516263</v>
      </c>
      <c r="I218" s="106">
        <f t="shared" si="38"/>
        <v>0.15550811878994653</v>
      </c>
      <c r="J218" s="106">
        <f t="shared" si="38"/>
        <v>0.17500581498971446</v>
      </c>
      <c r="K218" s="107">
        <f t="shared" si="38"/>
        <v>0.19439613481126417</v>
      </c>
      <c r="L218" s="83">
        <f t="shared" si="34"/>
        <v>-1.5564733963104557E-231</v>
      </c>
      <c r="M218" s="83">
        <f t="shared" si="33"/>
        <v>0.78824415801193704</v>
      </c>
      <c r="N218" s="83">
        <f t="shared" si="35"/>
        <v>4.008829585805861E-25</v>
      </c>
    </row>
    <row r="219" spans="1:14">
      <c r="A219" s="81">
        <f t="shared" si="31"/>
        <v>5</v>
      </c>
      <c r="B219" s="81">
        <f t="shared" si="32"/>
        <v>1344</v>
      </c>
      <c r="C219" s="82">
        <f t="shared" si="36"/>
        <v>36.660578370903707</v>
      </c>
      <c r="D219" s="83">
        <f t="shared" si="37"/>
        <v>5.6652700969293424E-2</v>
      </c>
      <c r="E219" s="105">
        <f t="shared" si="38"/>
        <v>7.645084514910816E-2</v>
      </c>
      <c r="F219" s="106">
        <f t="shared" si="38"/>
        <v>9.6201739336099878E-2</v>
      </c>
      <c r="G219" s="106">
        <f t="shared" si="38"/>
        <v>0.11589328358478435</v>
      </c>
      <c r="H219" s="106">
        <f t="shared" si="38"/>
        <v>0.13551348777068561</v>
      </c>
      <c r="I219" s="106">
        <f t="shared" si="38"/>
        <v>0.15505049348337319</v>
      </c>
      <c r="J219" s="106">
        <f t="shared" si="38"/>
        <v>0.17449259551428464</v>
      </c>
      <c r="K219" s="107">
        <f t="shared" si="38"/>
        <v>0.19382826287448851</v>
      </c>
      <c r="L219" s="83">
        <f t="shared" si="34"/>
        <v>-5.8974347450684458E-233</v>
      </c>
      <c r="M219" s="83">
        <f t="shared" si="33"/>
        <v>0.78687920407089917</v>
      </c>
      <c r="N219" s="83">
        <f t="shared" si="35"/>
        <v>2.8637023764212738E-25</v>
      </c>
    </row>
    <row r="220" spans="1:14">
      <c r="A220" s="81">
        <f t="shared" si="31"/>
        <v>5</v>
      </c>
      <c r="B220" s="81">
        <f t="shared" si="32"/>
        <v>1352</v>
      </c>
      <c r="C220" s="82">
        <f t="shared" si="36"/>
        <v>36.769525513516939</v>
      </c>
      <c r="D220" s="83">
        <f t="shared" si="37"/>
        <v>5.6485121620495349E-2</v>
      </c>
      <c r="E220" s="105">
        <f t="shared" si="38"/>
        <v>7.6225014716126527E-2</v>
      </c>
      <c r="F220" s="106">
        <f t="shared" si="38"/>
        <v>9.5918075258523583E-2</v>
      </c>
      <c r="G220" s="106">
        <f t="shared" si="38"/>
        <v>0.11555230926212379</v>
      </c>
      <c r="H220" s="106">
        <f t="shared" si="38"/>
        <v>0.13511583095313839</v>
      </c>
      <c r="I220" s="106">
        <f t="shared" si="38"/>
        <v>0.15459688434605345</v>
      </c>
      <c r="J220" s="106">
        <f t="shared" si="38"/>
        <v>0.17398386442318658</v>
      </c>
      <c r="K220" s="107">
        <f t="shared" si="38"/>
        <v>0.19326533785374922</v>
      </c>
      <c r="L220" s="83">
        <f t="shared" si="34"/>
        <v>-2.2345312296022542E-234</v>
      </c>
      <c r="M220" s="83">
        <f t="shared" si="33"/>
        <v>0.78552012742279675</v>
      </c>
      <c r="N220" s="83">
        <f t="shared" si="35"/>
        <v>2.0456821935652967E-25</v>
      </c>
    </row>
    <row r="221" spans="1:14">
      <c r="A221" s="81">
        <f t="shared" si="31"/>
        <v>5</v>
      </c>
      <c r="B221" s="81">
        <f t="shared" si="32"/>
        <v>1360</v>
      </c>
      <c r="C221" s="82">
        <f t="shared" si="36"/>
        <v>36.87815080083562</v>
      </c>
      <c r="D221" s="83">
        <f t="shared" si="37"/>
        <v>5.6319020631170336E-2</v>
      </c>
      <c r="E221" s="105">
        <f t="shared" si="38"/>
        <v>7.6001173786671261E-2</v>
      </c>
      <c r="F221" s="106">
        <f t="shared" si="38"/>
        <v>9.5636905717958909E-2</v>
      </c>
      <c r="G221" s="106">
        <f t="shared" si="38"/>
        <v>0.11521432686201738</v>
      </c>
      <c r="H221" s="106">
        <f t="shared" si="38"/>
        <v>0.13472165429119265</v>
      </c>
      <c r="I221" s="106">
        <f t="shared" si="38"/>
        <v>0.15414723297952326</v>
      </c>
      <c r="J221" s="106">
        <f t="shared" si="38"/>
        <v>0.17347955668018433</v>
      </c>
      <c r="K221" s="107">
        <f t="shared" si="38"/>
        <v>0.19270728835175266</v>
      </c>
      <c r="L221" s="83">
        <f t="shared" si="34"/>
        <v>-8.4666492415268251E-236</v>
      </c>
      <c r="M221" s="83">
        <f t="shared" si="33"/>
        <v>0.78416690493161667</v>
      </c>
      <c r="N221" s="83">
        <f t="shared" si="35"/>
        <v>1.4613305040099264E-25</v>
      </c>
    </row>
    <row r="222" spans="1:14">
      <c r="A222" s="81">
        <f t="shared" si="31"/>
        <v>5</v>
      </c>
      <c r="B222" s="81">
        <f t="shared" si="32"/>
        <v>1368</v>
      </c>
      <c r="C222" s="82">
        <f t="shared" si="36"/>
        <v>36.986457068624091</v>
      </c>
      <c r="D222" s="83">
        <f t="shared" si="37"/>
        <v>5.61543763919643E-2</v>
      </c>
      <c r="E222" s="105">
        <f t="shared" si="38"/>
        <v>7.5779293319745866E-2</v>
      </c>
      <c r="F222" s="106">
        <f t="shared" si="38"/>
        <v>9.535819436626336E-2</v>
      </c>
      <c r="G222" s="106">
        <f t="shared" si="38"/>
        <v>0.11487929288472021</v>
      </c>
      <c r="H222" s="106">
        <f t="shared" si="38"/>
        <v>0.13433090731923203</v>
      </c>
      <c r="I222" s="106">
        <f t="shared" si="38"/>
        <v>0.15370148216719581</v>
      </c>
      <c r="J222" s="106">
        <f t="shared" si="38"/>
        <v>0.17297960856061501</v>
      </c>
      <c r="K222" s="107">
        <f t="shared" si="38"/>
        <v>0.19215404440532513</v>
      </c>
      <c r="L222" s="83">
        <f t="shared" si="34"/>
        <v>-3.2080311294370447E-237</v>
      </c>
      <c r="M222" s="83">
        <f t="shared" si="33"/>
        <v>0.78281951308916886</v>
      </c>
      <c r="N222" s="83">
        <f t="shared" si="35"/>
        <v>1.0438996089749936E-25</v>
      </c>
    </row>
    <row r="223" spans="1:14">
      <c r="A223" s="81">
        <f t="shared" si="31"/>
        <v>5</v>
      </c>
      <c r="B223" s="81">
        <f t="shared" si="32"/>
        <v>1376</v>
      </c>
      <c r="C223" s="82">
        <f t="shared" si="36"/>
        <v>37.094447111247973</v>
      </c>
      <c r="D223" s="83">
        <f t="shared" si="37"/>
        <v>5.5991167733165703E-2</v>
      </c>
      <c r="E223" s="105">
        <f t="shared" si="38"/>
        <v>7.5559344864387867E-2</v>
      </c>
      <c r="F223" s="106">
        <f t="shared" si="38"/>
        <v>9.5081905592478089E-2</v>
      </c>
      <c r="G223" s="106">
        <f t="shared" si="38"/>
        <v>0.11454716471077497</v>
      </c>
      <c r="H223" s="106">
        <f t="shared" si="38"/>
        <v>0.13394354059021518</v>
      </c>
      <c r="I223" s="106">
        <f t="shared" si="38"/>
        <v>0.15325957584378713</v>
      </c>
      <c r="J223" s="106">
        <f t="shared" si="38"/>
        <v>0.17248395761758273</v>
      </c>
      <c r="K223" s="107">
        <f t="shared" si="38"/>
        <v>0.19160553744859254</v>
      </c>
      <c r="L223" s="83">
        <f t="shared" si="34"/>
        <v>-1.2155349675103788E-238</v>
      </c>
      <c r="M223" s="83">
        <f t="shared" si="33"/>
        <v>0.78147792803800198</v>
      </c>
      <c r="N223" s="83">
        <f t="shared" si="35"/>
        <v>7.4570837372374094E-26</v>
      </c>
    </row>
    <row r="224" spans="1:14">
      <c r="A224" s="81">
        <f t="shared" si="31"/>
        <v>5</v>
      </c>
      <c r="B224" s="81">
        <f t="shared" si="32"/>
        <v>1384</v>
      </c>
      <c r="C224" s="82">
        <f t="shared" si="36"/>
        <v>37.202123682515399</v>
      </c>
      <c r="D224" s="83">
        <f t="shared" si="37"/>
        <v>5.5829373913272473E-2</v>
      </c>
      <c r="E224" s="105">
        <f t="shared" si="38"/>
        <v>7.5341300544344181E-2</v>
      </c>
      <c r="F224" s="106">
        <f t="shared" si="38"/>
        <v>9.480800450371496E-2</v>
      </c>
      <c r="G224" s="106">
        <f t="shared" si="38"/>
        <v>0.1142179005782411</v>
      </c>
      <c r="H224" s="106">
        <f t="shared" si="38"/>
        <v>0.13355950564939634</v>
      </c>
      <c r="I224" s="106">
        <f t="shared" si="38"/>
        <v>0.15282145906570288</v>
      </c>
      <c r="J224" s="106">
        <f t="shared" si="38"/>
        <v>0.17199254264920616</v>
      </c>
      <c r="K224" s="107">
        <f t="shared" si="38"/>
        <v>0.19106170027731095</v>
      </c>
      <c r="L224" s="83">
        <f t="shared" si="34"/>
        <v>-4.6057273703035256E-240</v>
      </c>
      <c r="M224" s="83">
        <f t="shared" si="33"/>
        <v>0.78014212559338469</v>
      </c>
      <c r="N224" s="83">
        <f t="shared" si="35"/>
        <v>5.3269583958147388E-26</v>
      </c>
    </row>
    <row r="225" spans="1:14">
      <c r="A225" s="81">
        <f t="shared" si="31"/>
        <v>5</v>
      </c>
      <c r="B225" s="81">
        <f t="shared" si="32"/>
        <v>1392</v>
      </c>
      <c r="C225" s="82">
        <f t="shared" si="36"/>
        <v>37.309489496496369</v>
      </c>
      <c r="D225" s="83">
        <f t="shared" si="37"/>
        <v>5.5668974607919086E-2</v>
      </c>
      <c r="E225" s="105">
        <f t="shared" si="38"/>
        <v>7.5125133043231651E-2</v>
      </c>
      <c r="F225" s="106">
        <f t="shared" si="38"/>
        <v>9.4536456906647359E-2</v>
      </c>
      <c r="G225" s="106">
        <f t="shared" si="38"/>
        <v>0.11389145956063818</v>
      </c>
      <c r="H225" s="106">
        <f t="shared" si="38"/>
        <v>0.13317875500886944</v>
      </c>
      <c r="I225" s="106">
        <f t="shared" si="38"/>
        <v>0.15238707798235107</v>
      </c>
      <c r="J225" s="106">
        <f t="shared" si="38"/>
        <v>0.1715053036668901</v>
      </c>
      <c r="K225" s="107">
        <f t="shared" si="38"/>
        <v>0.19052246701430153</v>
      </c>
      <c r="L225" s="83">
        <f t="shared" si="34"/>
        <v>-1.7451424936851498E-241</v>
      </c>
      <c r="M225" s="83">
        <f t="shared" si="33"/>
        <v>0.77881208126438395</v>
      </c>
      <c r="N225" s="83">
        <f t="shared" si="35"/>
        <v>3.8053060352590109E-26</v>
      </c>
    </row>
    <row r="226" spans="1:14">
      <c r="A226" s="81">
        <f t="shared" si="31"/>
        <v>5</v>
      </c>
      <c r="B226" s="81">
        <f t="shared" si="32"/>
        <v>1400</v>
      </c>
      <c r="C226" s="82">
        <f t="shared" si="36"/>
        <v>37.416547228320958</v>
      </c>
      <c r="D226" s="83">
        <f t="shared" si="37"/>
        <v>5.5509949899152033E-2</v>
      </c>
      <c r="E226" s="105">
        <f t="shared" si="38"/>
        <v>7.4910815590161883E-2</v>
      </c>
      <c r="F226" s="106">
        <f t="shared" si="38"/>
        <v>9.4267229289580534E-2</v>
      </c>
      <c r="G226" s="106">
        <f t="shared" si="38"/>
        <v>0.11356780154558033</v>
      </c>
      <c r="H226" s="106">
        <f t="shared" si="38"/>
        <v>0.13280124212290589</v>
      </c>
      <c r="I226" s="106">
        <f t="shared" si="38"/>
        <v>0.15195637980834587</v>
      </c>
      <c r="J226" s="106">
        <f t="shared" si="38"/>
        <v>0.17102218186457652</v>
      </c>
      <c r="K226" s="107">
        <f t="shared" si="38"/>
        <v>0.18998777307595272</v>
      </c>
      <c r="L226" s="83">
        <f t="shared" si="34"/>
        <v>-6.6124966556212379E-243</v>
      </c>
      <c r="M226" s="83">
        <f t="shared" si="33"/>
        <v>0.77748777027408877</v>
      </c>
      <c r="N226" s="83">
        <f t="shared" si="35"/>
        <v>2.7183155838715412E-26</v>
      </c>
    </row>
    <row r="227" spans="1:14">
      <c r="A227" s="81">
        <f t="shared" si="31"/>
        <v>5</v>
      </c>
      <c r="B227" s="81">
        <f t="shared" si="32"/>
        <v>1408</v>
      </c>
      <c r="C227" s="82">
        <f t="shared" si="36"/>
        <v>37.52329951495701</v>
      </c>
      <c r="D227" s="83">
        <f t="shared" si="37"/>
        <v>5.5352280265040799E-2</v>
      </c>
      <c r="E227" s="105">
        <f t="shared" si="38"/>
        <v>7.4698321945815493E-2</v>
      </c>
      <c r="F227" s="106">
        <f t="shared" si="38"/>
        <v>9.4000288805079935E-2</v>
      </c>
      <c r="G227" s="106">
        <f t="shared" si="38"/>
        <v>0.11324688721407283</v>
      </c>
      <c r="H227" s="106">
        <f t="shared" si="38"/>
        <v>0.1324269213640572</v>
      </c>
      <c r="I227" s="106">
        <f t="shared" si="38"/>
        <v>0.15152931279657111</v>
      </c>
      <c r="J227" s="106">
        <f t="shared" si="38"/>
        <v>0.17054311958894575</v>
      </c>
      <c r="K227" s="107">
        <f t="shared" si="38"/>
        <v>0.18945755513974971</v>
      </c>
      <c r="L227" s="83">
        <f t="shared" si="34"/>
        <v>-2.5055435182401381E-244</v>
      </c>
      <c r="M227" s="83">
        <f t="shared" si="33"/>
        <v>0.77616916757899457</v>
      </c>
      <c r="N227" s="83">
        <f t="shared" si="35"/>
        <v>1.9418253210259671E-26</v>
      </c>
    </row>
    <row r="228" spans="1:14">
      <c r="A228" s="81">
        <f t="shared" si="31"/>
        <v>5</v>
      </c>
      <c r="B228" s="81">
        <f t="shared" si="32"/>
        <v>1416</v>
      </c>
      <c r="C228" s="82">
        <f t="shared" si="36"/>
        <v>37.629748955967976</v>
      </c>
      <c r="D228" s="83">
        <f t="shared" si="37"/>
        <v>5.5195946569611687E-2</v>
      </c>
      <c r="E228" s="105">
        <f t="shared" ref="E228:K259" si="39">IF($C228&gt;0,$C$9*(EXP(-$C$12*$B228/$C$14)-EXP(-$C$12*$A228/$C$16)*EXP(-$C$12*$C228^2/$C$14)*2*NORMSDIST(-($C$13*$A228/$C$16/$C$36+$C$38*E$50)/(2*$C228)*SQRT(2))),$C$9*EXP(-$C$12*$B228/$C$14))</f>
        <v>7.4487626388947348E-2</v>
      </c>
      <c r="F228" s="106">
        <f t="shared" si="39"/>
        <v>9.3735603253138011E-2</v>
      </c>
      <c r="G228" s="106">
        <f t="shared" si="39"/>
        <v>0.11292867802045037</v>
      </c>
      <c r="H228" s="106">
        <f t="shared" si="39"/>
        <v>0.13205574799999287</v>
      </c>
      <c r="I228" s="106">
        <f t="shared" si="39"/>
        <v>0.1511058262120708</v>
      </c>
      <c r="J228" s="106">
        <f t="shared" si="39"/>
        <v>0.17006806031052779</v>
      </c>
      <c r="K228" s="107">
        <f t="shared" si="39"/>
        <v>0.18893175111279525</v>
      </c>
      <c r="L228" s="83">
        <f t="shared" si="34"/>
        <v>-9.4938060597168815E-246</v>
      </c>
      <c r="M228" s="83">
        <f t="shared" si="33"/>
        <v>0.77485624788759511</v>
      </c>
      <c r="N228" s="83">
        <f t="shared" si="35"/>
        <v>1.3871404776362481E-26</v>
      </c>
    </row>
    <row r="229" spans="1:14">
      <c r="A229" s="81">
        <f t="shared" si="31"/>
        <v>5</v>
      </c>
      <c r="B229" s="81">
        <f t="shared" si="32"/>
        <v>1424</v>
      </c>
      <c r="C229" s="82">
        <f t="shared" si="36"/>
        <v>37.73589811425154</v>
      </c>
      <c r="D229" s="83">
        <f t="shared" si="37"/>
        <v>5.504093005309163E-2</v>
      </c>
      <c r="E229" s="105">
        <f t="shared" si="39"/>
        <v>7.4278703703309246E-2</v>
      </c>
      <c r="F229" s="106">
        <f t="shared" si="39"/>
        <v>9.3473141064859488E-2</v>
      </c>
      <c r="G229" s="106">
        <f t="shared" si="39"/>
        <v>0.11261313617293034</v>
      </c>
      <c r="H229" s="106">
        <f t="shared" si="39"/>
        <v>0.13168767817105032</v>
      </c>
      <c r="I229" s="106">
        <f t="shared" si="39"/>
        <v>0.15068587030673841</v>
      </c>
      <c r="J229" s="106">
        <f t="shared" si="39"/>
        <v>0.16959694859569407</v>
      </c>
      <c r="K229" s="107">
        <f t="shared" si="39"/>
        <v>0.1884103001012829</v>
      </c>
      <c r="L229" s="83">
        <f t="shared" si="34"/>
        <v>-3.5973333850051239E-247</v>
      </c>
      <c r="M229" s="83">
        <f t="shared" si="33"/>
        <v>0.77354898567821362</v>
      </c>
      <c r="N229" s="83">
        <f t="shared" si="35"/>
        <v>9.9090205687516325E-27</v>
      </c>
    </row>
    <row r="230" spans="1:14">
      <c r="A230" s="81">
        <f t="shared" si="31"/>
        <v>5</v>
      </c>
      <c r="B230" s="81">
        <f t="shared" si="32"/>
        <v>1432</v>
      </c>
      <c r="C230" s="82">
        <f t="shared" si="36"/>
        <v>37.841749516759563</v>
      </c>
      <c r="D230" s="83">
        <f t="shared" si="37"/>
        <v>5.4887212322452417E-2</v>
      </c>
      <c r="E230" s="105">
        <f t="shared" si="39"/>
        <v>7.4071529164974059E-2</v>
      </c>
      <c r="F230" s="106">
        <f t="shared" si="39"/>
        <v>9.3212871286646459E-2</v>
      </c>
      <c r="G230" s="106">
        <f t="shared" si="39"/>
        <v>0.11230022461476197</v>
      </c>
      <c r="H230" s="106">
        <f t="shared" si="39"/>
        <v>0.13132266886846811</v>
      </c>
      <c r="I230" s="106">
        <f t="shared" si="39"/>
        <v>0.15026939629477498</v>
      </c>
      <c r="J230" s="106">
        <f t="shared" si="39"/>
        <v>0.1691297300794985</v>
      </c>
      <c r="K230" s="107">
        <f t="shared" si="39"/>
        <v>0.18789314238089472</v>
      </c>
      <c r="L230" s="83">
        <f t="shared" si="34"/>
        <v>-1.3630850481235559E-248</v>
      </c>
      <c r="M230" s="83">
        <f t="shared" si="33"/>
        <v>0.77224735521609378</v>
      </c>
      <c r="N230" s="83">
        <f t="shared" si="35"/>
        <v>7.0784963898726191E-27</v>
      </c>
    </row>
    <row r="231" spans="1:14">
      <c r="A231" s="81">
        <f t="shared" si="31"/>
        <v>5</v>
      </c>
      <c r="B231" s="81">
        <f t="shared" si="32"/>
        <v>1440</v>
      </c>
      <c r="C231" s="82">
        <f t="shared" si="36"/>
        <v>37.947305655199983</v>
      </c>
      <c r="D231" s="83">
        <f t="shared" si="37"/>
        <v>5.4734775342244246E-2</v>
      </c>
      <c r="E231" s="105">
        <f t="shared" si="39"/>
        <v>7.3866078530044676E-2</v>
      </c>
      <c r="F231" s="106">
        <f t="shared" si="39"/>
        <v>9.2954763564864207E-2</v>
      </c>
      <c r="G231" s="106">
        <f t="shared" si="39"/>
        <v>0.11198990700594735</v>
      </c>
      <c r="H231" s="106">
        <f t="shared" si="39"/>
        <v>0.13096067791327815</v>
      </c>
      <c r="I231" s="106">
        <f t="shared" si="39"/>
        <v>0.14985635632888905</v>
      </c>
      <c r="J231" s="106">
        <f t="shared" si="39"/>
        <v>0.16866635143933606</v>
      </c>
      <c r="K231" s="107">
        <f t="shared" si="39"/>
        <v>0.18738021936808469</v>
      </c>
      <c r="L231" s="83">
        <f t="shared" si="34"/>
        <v>-5.1649623329531252E-250</v>
      </c>
      <c r="M231" s="83">
        <f t="shared" si="33"/>
        <v>0.77095133056978216</v>
      </c>
      <c r="N231" s="83">
        <f t="shared" si="35"/>
        <v>5.0565150000240368E-27</v>
      </c>
    </row>
    <row r="232" spans="1:14">
      <c r="A232" s="81">
        <f t="shared" si="31"/>
        <v>5</v>
      </c>
      <c r="B232" s="81">
        <f t="shared" si="32"/>
        <v>1448</v>
      </c>
      <c r="C232" s="82">
        <f t="shared" si="36"/>
        <v>38.052568986721155</v>
      </c>
      <c r="D232" s="83">
        <f t="shared" si="37"/>
        <v>5.4583601425706618E-2</v>
      </c>
      <c r="E232" s="105">
        <f t="shared" si="39"/>
        <v>7.3662328022737977E-2</v>
      </c>
      <c r="F232" s="106">
        <f t="shared" si="39"/>
        <v>9.2698788130973098E-2</v>
      </c>
      <c r="G232" s="106">
        <f t="shared" si="39"/>
        <v>0.11168214770551477</v>
      </c>
      <c r="H232" s="106">
        <f t="shared" si="39"/>
        <v>0.13060166393583672</v>
      </c>
      <c r="I232" s="106">
        <f t="shared" si="39"/>
        <v>0.14944670347721201</v>
      </c>
      <c r="J232" s="106">
        <f t="shared" si="39"/>
        <v>0.16820676036938931</v>
      </c>
      <c r="K232" s="107">
        <f t="shared" si="39"/>
        <v>0.18687147359222034</v>
      </c>
      <c r="L232" s="83">
        <f t="shared" si="34"/>
        <v>-1.9571013079743727E-251</v>
      </c>
      <c r="M232" s="83">
        <f t="shared" si="33"/>
        <v>0.76966088562683943</v>
      </c>
      <c r="N232" s="83">
        <f t="shared" si="35"/>
        <v>3.6121151353625542E-27</v>
      </c>
    </row>
    <row r="233" spans="1:14">
      <c r="A233" s="81">
        <f t="shared" si="31"/>
        <v>5</v>
      </c>
      <c r="B233" s="81">
        <f t="shared" si="32"/>
        <v>1456</v>
      </c>
      <c r="C233" s="82">
        <f t="shared" si="36"/>
        <v>38.157541934579235</v>
      </c>
      <c r="D233" s="83">
        <f t="shared" si="37"/>
        <v>5.4433673226148338E-2</v>
      </c>
      <c r="E233" s="105">
        <f t="shared" si="39"/>
        <v>7.3460254323827634E-2</v>
      </c>
      <c r="F233" s="106">
        <f t="shared" si="39"/>
        <v>9.2444915787106785E-2</v>
      </c>
      <c r="G233" s="106">
        <f t="shared" si="39"/>
        <v>0.11137691175432596</v>
      </c>
      <c r="H233" s="106">
        <f t="shared" si="39"/>
        <v>0.13024558635596684</v>
      </c>
      <c r="I233" s="106">
        <f t="shared" si="39"/>
        <v>0.14904039170090422</v>
      </c>
      <c r="J233" s="106">
        <f t="shared" si="39"/>
        <v>0.1677509055558386</v>
      </c>
      <c r="K233" s="107">
        <f t="shared" si="39"/>
        <v>0.18636684866854991</v>
      </c>
      <c r="L233" s="83">
        <f t="shared" si="34"/>
        <v>-7.4158579804076645E-253</v>
      </c>
      <c r="M233" s="83">
        <f t="shared" si="33"/>
        <v>0.76837599410889412</v>
      </c>
      <c r="N233" s="83">
        <f t="shared" si="35"/>
        <v>2.5803099073281329E-27</v>
      </c>
    </row>
    <row r="234" spans="1:14">
      <c r="A234" s="81">
        <f t="shared" si="31"/>
        <v>5</v>
      </c>
      <c r="B234" s="81">
        <f t="shared" si="32"/>
        <v>1464</v>
      </c>
      <c r="C234" s="82">
        <f t="shared" si="36"/>
        <v>38.262226888789066</v>
      </c>
      <c r="D234" s="83">
        <f t="shared" si="37"/>
        <v>5.428497372858776E-2</v>
      </c>
      <c r="E234" s="105">
        <f t="shared" si="39"/>
        <v>7.3259834559433301E-2</v>
      </c>
      <c r="F234" s="106">
        <f t="shared" si="39"/>
        <v>9.2193117892083398E-2</v>
      </c>
      <c r="G234" s="106">
        <f t="shared" si="39"/>
        <v>0.11107416485839683</v>
      </c>
      <c r="H234" s="106">
        <f t="shared" si="39"/>
        <v>0.12989240536369429</v>
      </c>
      <c r="I234" s="106">
        <f t="shared" si="39"/>
        <v>0.1486373758324262</v>
      </c>
      <c r="J234" s="106">
        <f t="shared" si="39"/>
        <v>0.16729873665280559</v>
      </c>
      <c r="K234" s="107">
        <f t="shared" si="39"/>
        <v>0.18586628927197002</v>
      </c>
      <c r="L234" s="83">
        <f t="shared" si="34"/>
        <v>-2.8100332157978102E-254</v>
      </c>
      <c r="M234" s="83">
        <f t="shared" si="33"/>
        <v>0.7670966295860695</v>
      </c>
      <c r="N234" s="83">
        <f t="shared" si="35"/>
        <v>1.8432411394293486E-27</v>
      </c>
    </row>
    <row r="235" spans="1:14">
      <c r="A235" s="81">
        <f t="shared" si="31"/>
        <v>5</v>
      </c>
      <c r="B235" s="81">
        <f t="shared" si="32"/>
        <v>1472</v>
      </c>
      <c r="C235" s="82">
        <f t="shared" si="36"/>
        <v>38.366626206759086</v>
      </c>
      <c r="D235" s="83">
        <f t="shared" si="37"/>
        <v>5.4137486241640165E-2</v>
      </c>
      <c r="E235" s="105">
        <f t="shared" si="39"/>
        <v>7.3061046290144871E-2</v>
      </c>
      <c r="F235" s="106">
        <f t="shared" si="39"/>
        <v>9.1943366347833955E-2</v>
      </c>
      <c r="G235" s="106">
        <f t="shared" si="39"/>
        <v>0.11077387337271372</v>
      </c>
      <c r="H235" s="106">
        <f t="shared" si="39"/>
        <v>0.12954208190055483</v>
      </c>
      <c r="I235" s="106">
        <f t="shared" si="39"/>
        <v>0.14823761155445281</v>
      </c>
      <c r="J235" s="106">
        <f t="shared" si="39"/>
        <v>0.16685020425900587</v>
      </c>
      <c r="K235" s="107">
        <f t="shared" si="39"/>
        <v>0.18536974111156068</v>
      </c>
      <c r="L235" s="83">
        <f t="shared" si="34"/>
        <v>-1.0647887618125781E-255</v>
      </c>
      <c r="M235" s="83">
        <f t="shared" si="33"/>
        <v>0.76582276549081296</v>
      </c>
      <c r="N235" s="83">
        <f t="shared" si="35"/>
        <v>1.3167169914108867E-27</v>
      </c>
    </row>
    <row r="236" spans="1:14">
      <c r="A236" s="81">
        <f t="shared" si="31"/>
        <v>5</v>
      </c>
      <c r="B236" s="81">
        <f t="shared" si="32"/>
        <v>1480</v>
      </c>
      <c r="C236" s="82">
        <f t="shared" si="36"/>
        <v>38.470742213910725</v>
      </c>
      <c r="D236" s="83">
        <f t="shared" si="37"/>
        <v>5.3991194389648944E-2</v>
      </c>
      <c r="E236" s="105">
        <f t="shared" si="39"/>
        <v>7.2863867500469803E-2</v>
      </c>
      <c r="F236" s="106">
        <f t="shared" si="39"/>
        <v>9.1695633586231118E-2</v>
      </c>
      <c r="G236" s="106">
        <f t="shared" si="39"/>
        <v>0.11047600428552928</v>
      </c>
      <c r="H236" s="106">
        <f t="shared" si="39"/>
        <v>0.12919457764145204</v>
      </c>
      <c r="I236" s="106">
        <f t="shared" si="39"/>
        <v>0.14784105537940828</v>
      </c>
      <c r="J236" s="106">
        <f t="shared" si="39"/>
        <v>0.16640525989508581</v>
      </c>
      <c r="K236" s="107">
        <f t="shared" si="39"/>
        <v>0.18487715090586732</v>
      </c>
      <c r="L236" s="83">
        <f t="shared" si="34"/>
        <v>-4.0347573657683637E-257</v>
      </c>
      <c r="M236" s="83">
        <f t="shared" si="33"/>
        <v>0.76455437513114255</v>
      </c>
      <c r="N236" s="83">
        <f t="shared" si="35"/>
        <v>9.4059512799660133E-28</v>
      </c>
    </row>
    <row r="237" spans="1:14">
      <c r="A237" s="81">
        <f t="shared" si="31"/>
        <v>5</v>
      </c>
      <c r="B237" s="81">
        <f t="shared" si="32"/>
        <v>1488</v>
      </c>
      <c r="C237" s="82">
        <f t="shared" si="36"/>
        <v>38.574577204282782</v>
      </c>
      <c r="D237" s="83">
        <f t="shared" si="37"/>
        <v>5.3846082105048376E-2</v>
      </c>
      <c r="E237" s="105">
        <f t="shared" si="39"/>
        <v>7.2668276588591763E-2</v>
      </c>
      <c r="F237" s="106">
        <f t="shared" si="39"/>
        <v>9.1449892556308976E-2</v>
      </c>
      <c r="G237" s="106">
        <f t="shared" si="39"/>
        <v>0.11018052520311938</v>
      </c>
      <c r="H237" s="106">
        <f t="shared" si="39"/>
        <v>0.12884985497704915</v>
      </c>
      <c r="I237" s="106">
        <f t="shared" si="39"/>
        <v>0.14744766462959857</v>
      </c>
      <c r="J237" s="106">
        <f t="shared" si="39"/>
        <v>0.16596385598162278</v>
      </c>
      <c r="K237" s="107">
        <f t="shared" si="39"/>
        <v>0.1843884663588975</v>
      </c>
      <c r="L237" s="83">
        <f t="shared" si="34"/>
        <v>-1.5288798225878234E-258</v>
      </c>
      <c r="M237" s="83">
        <f t="shared" si="33"/>
        <v>0.76329143170333857</v>
      </c>
      <c r="N237" s="83">
        <f t="shared" si="35"/>
        <v>6.7191294756737642E-28</v>
      </c>
    </row>
    <row r="238" spans="1:14">
      <c r="A238" s="81">
        <f t="shared" si="31"/>
        <v>5</v>
      </c>
      <c r="B238" s="81">
        <f t="shared" si="32"/>
        <v>1496</v>
      </c>
      <c r="C238" s="82">
        <f t="shared" si="36"/>
        <v>38.678133441121133</v>
      </c>
      <c r="D238" s="83">
        <f t="shared" si="37"/>
        <v>5.3702133620949999E-2</v>
      </c>
      <c r="E238" s="105">
        <f t="shared" si="39"/>
        <v>7.2474252356429458E-2</v>
      </c>
      <c r="F238" s="106">
        <f t="shared" si="39"/>
        <v>9.1206116711855412E-2</v>
      </c>
      <c r="G238" s="106">
        <f t="shared" si="39"/>
        <v>0.10988740433498712</v>
      </c>
      <c r="H238" s="106">
        <f t="shared" si="39"/>
        <v>0.12850787699667321</v>
      </c>
      <c r="I238" s="106">
        <f t="shared" si="39"/>
        <v>0.14705739741792501</v>
      </c>
      <c r="J238" s="106">
        <f t="shared" si="39"/>
        <v>0.16552594581775959</v>
      </c>
      <c r="K238" s="107">
        <f t="shared" si="39"/>
        <v>0.18390363613681471</v>
      </c>
      <c r="L238" s="83">
        <f t="shared" si="34"/>
        <v>-5.7933696380905061E-260</v>
      </c>
      <c r="M238" s="83">
        <f t="shared" si="33"/>
        <v>0.76203390830410278</v>
      </c>
      <c r="N238" s="83">
        <f t="shared" si="35"/>
        <v>4.7998016965096502E-28</v>
      </c>
    </row>
    <row r="239" spans="1:14">
      <c r="A239" s="81">
        <f t="shared" si="31"/>
        <v>5</v>
      </c>
      <c r="B239" s="81">
        <f t="shared" si="32"/>
        <v>1504</v>
      </c>
      <c r="C239" s="82">
        <f t="shared" si="36"/>
        <v>38.781413157454345</v>
      </c>
      <c r="D239" s="83">
        <f t="shared" si="37"/>
        <v>5.35593334639477E-2</v>
      </c>
      <c r="E239" s="105">
        <f t="shared" si="39"/>
        <v>7.2281773999987475E-2</v>
      </c>
      <c r="F239" s="106">
        <f t="shared" si="39"/>
        <v>9.0964279999366404E-2</v>
      </c>
      <c r="G239" s="106">
        <f t="shared" si="39"/>
        <v>0.10959661047949609</v>
      </c>
      <c r="H239" s="106">
        <f t="shared" si="39"/>
        <v>0.12816860747171699</v>
      </c>
      <c r="I239" s="106">
        <f t="shared" si="39"/>
        <v>0.14667021262915192</v>
      </c>
      <c r="J239" s="106">
        <f t="shared" si="39"/>
        <v>0.16509148356045933</v>
      </c>
      <c r="K239" s="107">
        <f t="shared" si="39"/>
        <v>0.18342260984530023</v>
      </c>
      <c r="L239" s="83">
        <f t="shared" si="34"/>
        <v>-2.1952859329073426E-261</v>
      </c>
      <c r="M239" s="83">
        <f t="shared" si="33"/>
        <v>0.76078177794220281</v>
      </c>
      <c r="N239" s="83">
        <f t="shared" si="35"/>
        <v>3.4287323096280895E-28</v>
      </c>
    </row>
    <row r="240" spans="1:14">
      <c r="A240" s="81">
        <f t="shared" si="31"/>
        <v>5</v>
      </c>
      <c r="B240" s="81">
        <f t="shared" si="32"/>
        <v>1512</v>
      </c>
      <c r="C240" s="82">
        <f t="shared" si="36"/>
        <v>38.884418556655476</v>
      </c>
      <c r="D240" s="83">
        <f t="shared" si="37"/>
        <v>5.3417666447131085E-2</v>
      </c>
      <c r="E240" s="105">
        <f t="shared" si="39"/>
        <v>7.2090821099985769E-2</v>
      </c>
      <c r="F240" s="106">
        <f t="shared" si="39"/>
        <v>9.072435684635205E-2</v>
      </c>
      <c r="G240" s="106">
        <f t="shared" si="39"/>
        <v>0.10930811300992116</v>
      </c>
      <c r="H240" s="106">
        <f t="shared" si="39"/>
        <v>0.12783201083951901</v>
      </c>
      <c r="I240" s="106">
        <f t="shared" si="39"/>
        <v>0.14628606990171766</v>
      </c>
      <c r="J240" s="106">
        <f t="shared" si="39"/>
        <v>0.16466042420435323</v>
      </c>
      <c r="K240" s="107">
        <f t="shared" si="39"/>
        <v>0.18294533800756296</v>
      </c>
      <c r="L240" s="83">
        <f t="shared" si="34"/>
        <v>-8.3186512461620375E-263</v>
      </c>
      <c r="M240" s="83">
        <f t="shared" si="33"/>
        <v>0.75953501354962105</v>
      </c>
      <c r="N240" s="83">
        <f t="shared" si="35"/>
        <v>2.4493106162357584E-28</v>
      </c>
    </row>
    <row r="241" spans="1:14">
      <c r="A241" s="81">
        <f t="shared" si="31"/>
        <v>5</v>
      </c>
      <c r="B241" s="81">
        <f t="shared" si="32"/>
        <v>1520</v>
      </c>
      <c r="C241" s="82">
        <f t="shared" si="36"/>
        <v>38.987151812990554</v>
      </c>
      <c r="D241" s="83">
        <f t="shared" si="37"/>
        <v>5.3277117663300677E-2</v>
      </c>
      <c r="E241" s="105">
        <f t="shared" si="39"/>
        <v>7.1901373612760722E-2</v>
      </c>
      <c r="F241" s="106">
        <f t="shared" si="39"/>
        <v>9.0486322149976761E-2</v>
      </c>
      <c r="G241" s="106">
        <f t="shared" si="39"/>
        <v>0.10902188186089945</v>
      </c>
      <c r="H241" s="106">
        <f t="shared" si="39"/>
        <v>0.12749805218770871</v>
      </c>
      <c r="I241" s="106">
        <f t="shared" si="39"/>
        <v>0.14590492961006585</v>
      </c>
      <c r="J241" s="106">
        <f t="shared" si="39"/>
        <v>0.16423272356216589</v>
      </c>
      <c r="K241" s="107">
        <f t="shared" si="39"/>
        <v>0.1824717720429756</v>
      </c>
      <c r="L241" s="83">
        <f t="shared" si="34"/>
        <v>-3.1522213632140708E-264</v>
      </c>
      <c r="M241" s="83">
        <f t="shared" si="33"/>
        <v>0.75829358799223501</v>
      </c>
      <c r="N241" s="83">
        <f t="shared" si="35"/>
        <v>1.7496619604742219E-28</v>
      </c>
    </row>
    <row r="242" spans="1:14">
      <c r="A242" s="81">
        <f t="shared" si="31"/>
        <v>5</v>
      </c>
      <c r="B242" s="81">
        <f t="shared" si="32"/>
        <v>1528</v>
      </c>
      <c r="C242" s="82">
        <f t="shared" si="36"/>
        <v>39.089615072154047</v>
      </c>
      <c r="D242" s="83">
        <f t="shared" si="37"/>
        <v>5.3137672478379416E-2</v>
      </c>
      <c r="E242" s="105">
        <f t="shared" si="39"/>
        <v>7.1713411861428877E-2</v>
      </c>
      <c r="F242" s="106">
        <f t="shared" si="39"/>
        <v>9.0250151266028533E-2</v>
      </c>
      <c r="G242" s="106">
        <f t="shared" si="39"/>
        <v>0.10873788751527136</v>
      </c>
      <c r="H242" s="106">
        <f t="shared" si="39"/>
        <v>0.12716669723899643</v>
      </c>
      <c r="I242" s="106">
        <f t="shared" si="39"/>
        <v>0.1455267528474784</v>
      </c>
      <c r="J242" s="106">
        <f t="shared" si="39"/>
        <v>0.16380833824569474</v>
      </c>
      <c r="K242" s="107">
        <f t="shared" si="39"/>
        <v>0.18200186424631459</v>
      </c>
      <c r="L242" s="83">
        <f t="shared" si="34"/>
        <v>-1.1944898608525878E-265</v>
      </c>
      <c r="M242" s="83">
        <f t="shared" si="33"/>
        <v>0.75705747408003532</v>
      </c>
      <c r="N242" s="83">
        <f t="shared" si="35"/>
        <v>1.2498688225323198E-28</v>
      </c>
    </row>
    <row r="243" spans="1:14">
      <c r="A243" s="81">
        <f t="shared" si="31"/>
        <v>5</v>
      </c>
      <c r="B243" s="81">
        <f t="shared" si="32"/>
        <v>1536</v>
      </c>
      <c r="C243" s="82">
        <f t="shared" si="36"/>
        <v>39.191810451791746</v>
      </c>
      <c r="D243" s="83">
        <f t="shared" si="37"/>
        <v>5.2999316525012885E-2</v>
      </c>
      <c r="E243" s="105">
        <f t="shared" si="39"/>
        <v>7.1526916527301365E-2</v>
      </c>
      <c r="F243" s="106">
        <f t="shared" si="39"/>
        <v>9.0015819998201518E-2</v>
      </c>
      <c r="G243" s="106">
        <f t="shared" si="39"/>
        <v>0.10845610099129455</v>
      </c>
      <c r="H243" s="106">
        <f t="shared" si="39"/>
        <v>0.12683791233639785</v>
      </c>
      <c r="I243" s="106">
        <f t="shared" si="39"/>
        <v>0.14515150140939781</v>
      </c>
      <c r="J243" s="106">
        <f t="shared" si="39"/>
        <v>0.16338722564732922</v>
      </c>
      <c r="K243" s="107">
        <f t="shared" si="39"/>
        <v>0.18153556776758517</v>
      </c>
      <c r="L243" s="83">
        <f t="shared" si="34"/>
        <v>-4.5263715101280854E-267</v>
      </c>
      <c r="M243" s="83">
        <f t="shared" si="33"/>
        <v>0.75582664457691084</v>
      </c>
      <c r="N243" s="83">
        <f t="shared" si="35"/>
        <v>8.9284222257134357E-29</v>
      </c>
    </row>
    <row r="244" spans="1:14">
      <c r="A244" s="81">
        <f t="shared" ref="A244:A307" si="40">IF(ISBLANK($C$44),A243+$C$42,$C$44)</f>
        <v>5</v>
      </c>
      <c r="B244" s="81">
        <f t="shared" ref="B244:B307" si="41">IF(ISBLANK($C$43),B243+$C$41,$C$43)</f>
        <v>1544</v>
      </c>
      <c r="C244" s="82">
        <f t="shared" si="36"/>
        <v>39.293740042011436</v>
      </c>
      <c r="D244" s="83">
        <f t="shared" si="37"/>
        <v>5.2862035696350285E-2</v>
      </c>
      <c r="E244" s="105">
        <f t="shared" si="39"/>
        <v>7.1341868641544348E-2</v>
      </c>
      <c r="F244" s="106">
        <f t="shared" si="39"/>
        <v>8.9783304587683244E-2</v>
      </c>
      <c r="G244" s="106">
        <f t="shared" si="39"/>
        <v>0.10817649383022276</v>
      </c>
      <c r="H244" s="106">
        <f t="shared" si="39"/>
        <v>0.12651166442887662</v>
      </c>
      <c r="I244" s="106">
        <f t="shared" si="39"/>
        <v>0.14477913777721851</v>
      </c>
      <c r="J244" s="106">
        <f t="shared" si="39"/>
        <v>0.16296934392208784</v>
      </c>
      <c r="K244" s="107">
        <f t="shared" si="39"/>
        <v>0.18107283659241302</v>
      </c>
      <c r="L244" s="83">
        <f t="shared" si="34"/>
        <v>-1.7152202474435671E-268</v>
      </c>
      <c r="M244" s="83">
        <f t="shared" ref="M244:M307" si="42">$C$9*EXP(-$C$12*$B244/$C$14)*(1-0.5*2*NORMSDIST(-($C$14*$A244)/(2*SQRT(($C$11)*$C$14*$B244))*SQRT(2))-0.5*2*NORMSDIST(-($C$14*$A244)/(2*SQRT(($C$11)*$C$14*$B244))*SQRT(2)))</f>
        <v>0.75460107221000827</v>
      </c>
      <c r="N244" s="83">
        <f t="shared" si="35"/>
        <v>6.3780071959153386E-29</v>
      </c>
    </row>
    <row r="245" spans="1:14">
      <c r="A245" s="81">
        <f t="shared" si="40"/>
        <v>5</v>
      </c>
      <c r="B245" s="81">
        <f t="shared" si="41"/>
        <v>1552</v>
      </c>
      <c r="C245" s="82">
        <f t="shared" si="36"/>
        <v>39.395405905881624</v>
      </c>
      <c r="D245" s="83">
        <f t="shared" si="37"/>
        <v>5.2725816140003712E-2</v>
      </c>
      <c r="E245" s="105">
        <f t="shared" si="39"/>
        <v>7.1158249577075061E-2</v>
      </c>
      <c r="F245" s="106">
        <f t="shared" si="39"/>
        <v>8.9552581703037593E-2</v>
      </c>
      <c r="G245" s="106">
        <f t="shared" si="39"/>
        <v>0.10789903808423262</v>
      </c>
      <c r="H245" s="106">
        <f t="shared" si="39"/>
        <v>0.1261879210573893</v>
      </c>
      <c r="I245" s="106">
        <f t="shared" si="39"/>
        <v>0.1444096251025333</v>
      </c>
      <c r="J245" s="106">
        <f t="shared" si="39"/>
        <v>0.16255465197015928</v>
      </c>
      <c r="K245" s="107">
        <f t="shared" si="39"/>
        <v>0.18061362552297933</v>
      </c>
      <c r="L245" s="83">
        <f t="shared" ref="L245:L308" si="43">$C$9*EXP(-$C$12*$B245/$C$14)*(1-0.5*2*NORMSDIST(-($C$14*$A245-$C$17*$B245)/(2*SQRT(($C$18*$C$17+$C$11)*$C$14*$B245))*SQRT(2))-0.5*EXP($C$17*$A245/(($C$18*$C$17+$C$11)))*2*NORMSDIST(-($C$14*$A245+$C$17*$B245)/(2*SQRT(($C$18*$C$17+$C$11)*$C$14*$B245))*SQRT(2)))</f>
        <v>-6.4996738083314255E-270</v>
      </c>
      <c r="M245" s="83">
        <f t="shared" si="42"/>
        <v>0.75338072967869207</v>
      </c>
      <c r="N245" s="83">
        <f t="shared" ref="N245:N308" si="44">$C$9*EXP(-($C$25/1000/($C$10*$A245)+$C$12)/$C$14*$B245)</f>
        <v>4.5561214246783403E-29</v>
      </c>
    </row>
    <row r="246" spans="1:14">
      <c r="A246" s="81">
        <f t="shared" si="40"/>
        <v>5</v>
      </c>
      <c r="B246" s="81">
        <f t="shared" si="41"/>
        <v>1560</v>
      </c>
      <c r="C246" s="82">
        <f t="shared" si="36"/>
        <v>39.496810079918767</v>
      </c>
      <c r="D246" s="83">
        <f t="shared" si="37"/>
        <v>5.2590644252176855E-2</v>
      </c>
      <c r="E246" s="105">
        <f t="shared" si="39"/>
        <v>7.0976041040685445E-2</v>
      </c>
      <c r="F246" s="106">
        <f t="shared" si="39"/>
        <v>8.9323628430370006E-2</v>
      </c>
      <c r="G246" s="106">
        <f t="shared" si="39"/>
        <v>0.10762370630469187</v>
      </c>
      <c r="H246" s="106">
        <f t="shared" si="39"/>
        <v>0.12586665034132238</v>
      </c>
      <c r="I246" s="106">
        <f t="shared" si="39"/>
        <v>0.14404292719182066</v>
      </c>
      <c r="J246" s="106">
        <f t="shared" si="39"/>
        <v>0.16214310941992816</v>
      </c>
      <c r="K246" s="107">
        <f t="shared" si="39"/>
        <v>0.18015789015948847</v>
      </c>
      <c r="L246" s="83">
        <f t="shared" si="43"/>
        <v>-2.463004453595453E-271</v>
      </c>
      <c r="M246" s="83">
        <f t="shared" si="42"/>
        <v>0.75216558966311031</v>
      </c>
      <c r="N246" s="83">
        <f t="shared" si="44"/>
        <v>3.2546596136968092E-29</v>
      </c>
    </row>
    <row r="247" spans="1:14">
      <c r="A247" s="81">
        <f t="shared" si="40"/>
        <v>5</v>
      </c>
      <c r="B247" s="81">
        <f t="shared" si="41"/>
        <v>1568</v>
      </c>
      <c r="C247" s="82">
        <f t="shared" si="36"/>
        <v>39.597954574563225</v>
      </c>
      <c r="D247" s="83">
        <f t="shared" si="37"/>
        <v>5.2456506671957559E-2</v>
      </c>
      <c r="E247" s="105">
        <f t="shared" si="39"/>
        <v>7.0795225065387823E-2</v>
      </c>
      <c r="F247" s="106">
        <f t="shared" si="39"/>
        <v>8.9096422263769792E-2</v>
      </c>
      <c r="G247" s="106">
        <f t="shared" si="39"/>
        <v>0.1073504715307525</v>
      </c>
      <c r="H247" s="106">
        <f t="shared" si="39"/>
        <v>0.12554782096530714</v>
      </c>
      <c r="I247" s="106">
        <f t="shared" si="39"/>
        <v>0.14367900849155557</v>
      </c>
      <c r="J247" s="106">
        <f t="shared" si="39"/>
        <v>0.16173467661147267</v>
      </c>
      <c r="K247" s="107">
        <f t="shared" si="39"/>
        <v>0.17970558688214511</v>
      </c>
      <c r="L247" s="83">
        <f t="shared" si="43"/>
        <v>-9.3334197982561283E-273</v>
      </c>
      <c r="M247" s="83">
        <f t="shared" si="42"/>
        <v>0.75095562483239053</v>
      </c>
      <c r="N247" s="83">
        <f t="shared" si="44"/>
        <v>2.3249620046675798E-29</v>
      </c>
    </row>
    <row r="248" spans="1:14">
      <c r="A248" s="81">
        <f t="shared" si="40"/>
        <v>5</v>
      </c>
      <c r="B248" s="81">
        <f t="shared" si="41"/>
        <v>1576</v>
      </c>
      <c r="C248" s="82">
        <f t="shared" si="36"/>
        <v>39.698841374644331</v>
      </c>
      <c r="D248" s="83">
        <f t="shared" si="37"/>
        <v>5.2323390275772264E-2</v>
      </c>
      <c r="E248" s="105">
        <f t="shared" si="39"/>
        <v>7.0615784002973081E-2</v>
      </c>
      <c r="F248" s="106">
        <f t="shared" si="39"/>
        <v>8.8870941096017786E-2</v>
      </c>
      <c r="G248" s="106">
        <f t="shared" si="39"/>
        <v>0.10707930727826387</v>
      </c>
      <c r="H248" s="106">
        <f t="shared" si="39"/>
        <v>0.12523140216640005</v>
      </c>
      <c r="I248" s="106">
        <f t="shared" si="39"/>
        <v>0.14331783407373466</v>
      </c>
      <c r="J248" s="106">
        <f t="shared" si="39"/>
        <v>0.16132931458051458</v>
      </c>
      <c r="K248" s="107">
        <f t="shared" si="39"/>
        <v>0.17925667283362556</v>
      </c>
      <c r="L248" s="83">
        <f t="shared" si="43"/>
        <v>-3.5368640689457705E-274</v>
      </c>
      <c r="M248" s="83">
        <f t="shared" si="42"/>
        <v>0.7497508078524735</v>
      </c>
      <c r="N248" s="83">
        <f t="shared" si="44"/>
        <v>1.6608336860787814E-29</v>
      </c>
    </row>
    <row r="249" spans="1:14">
      <c r="A249" s="81">
        <f t="shared" si="40"/>
        <v>5</v>
      </c>
      <c r="B249" s="81">
        <f t="shared" si="41"/>
        <v>1584</v>
      </c>
      <c r="C249" s="82">
        <f t="shared" si="36"/>
        <v>39.799472439834837</v>
      </c>
      <c r="D249" s="83">
        <f t="shared" si="37"/>
        <v>5.2191282171991427E-2</v>
      </c>
      <c r="E249" s="105">
        <f t="shared" si="39"/>
        <v>7.0437700516775115E-2</v>
      </c>
      <c r="F249" s="106">
        <f t="shared" si="39"/>
        <v>8.8647163209551127E-2</v>
      </c>
      <c r="G249" s="106">
        <f t="shared" si="39"/>
        <v>0.10681018752898885</v>
      </c>
      <c r="H249" s="106">
        <f t="shared" si="39"/>
        <v>0.12491736372161588</v>
      </c>
      <c r="I249" s="106">
        <f t="shared" si="39"/>
        <v>0.14295936962179656</v>
      </c>
      <c r="J249" s="106">
        <f t="shared" si="39"/>
        <v>0.16092698504281233</v>
      </c>
      <c r="K249" s="107">
        <f t="shared" si="39"/>
        <v>0.17881110590203053</v>
      </c>
      <c r="L249" s="83">
        <f t="shared" si="43"/>
        <v>-1.3402873017595281E-275</v>
      </c>
      <c r="M249" s="83">
        <f t="shared" si="42"/>
        <v>0.74855111139360453</v>
      </c>
      <c r="N249" s="83">
        <f t="shared" si="44"/>
        <v>1.1864144563551521E-29</v>
      </c>
    </row>
    <row r="250" spans="1:14">
      <c r="A250" s="81">
        <f t="shared" si="40"/>
        <v>5</v>
      </c>
      <c r="B250" s="81">
        <f t="shared" si="41"/>
        <v>1592</v>
      </c>
      <c r="C250" s="82">
        <f t="shared" si="36"/>
        <v>39.899849705095043</v>
      </c>
      <c r="D250" s="83">
        <f t="shared" si="37"/>
        <v>5.2060169695685499E-2</v>
      </c>
      <c r="E250" s="105">
        <f t="shared" si="39"/>
        <v>7.0260957574635796E-2</v>
      </c>
      <c r="F250" s="106">
        <f t="shared" si="39"/>
        <v>8.8425067267677626E-2</v>
      </c>
      <c r="G250" s="106">
        <f t="shared" si="39"/>
        <v>0.10654308672012003</v>
      </c>
      <c r="H250" s="106">
        <f t="shared" si="39"/>
        <v>0.12460567593580318</v>
      </c>
      <c r="I250" s="106">
        <f t="shared" si="39"/>
        <v>0.14260358141693019</v>
      </c>
      <c r="J250" s="106">
        <f t="shared" si="39"/>
        <v>0.16052765037897698</v>
      </c>
      <c r="K250" s="107">
        <f t="shared" si="39"/>
        <v>0.17836884470429859</v>
      </c>
      <c r="L250" s="83">
        <f t="shared" si="43"/>
        <v>-5.0790138847241674E-277</v>
      </c>
      <c r="M250" s="83">
        <f t="shared" si="42"/>
        <v>0.747356508137488</v>
      </c>
      <c r="N250" s="83">
        <f t="shared" si="44"/>
        <v>8.4751367584058195E-30</v>
      </c>
    </row>
    <row r="251" spans="1:14">
      <c r="A251" s="81">
        <f t="shared" si="40"/>
        <v>5</v>
      </c>
      <c r="B251" s="81">
        <f t="shared" si="41"/>
        <v>1600</v>
      </c>
      <c r="C251" s="82">
        <f t="shared" si="36"/>
        <v>39.999975081106896</v>
      </c>
      <c r="D251" s="83">
        <f t="shared" si="37"/>
        <v>5.1930040403526334E-2</v>
      </c>
      <c r="E251" s="105">
        <f t="shared" si="39"/>
        <v>7.0085538442061779E-2</v>
      </c>
      <c r="F251" s="106">
        <f t="shared" si="39"/>
        <v>8.8204632306029929E-2</v>
      </c>
      <c r="G251" s="106">
        <f t="shared" si="39"/>
        <v>0.10627797973408004</v>
      </c>
      <c r="H251" s="106">
        <f t="shared" si="39"/>
        <v>0.12429630962985216</v>
      </c>
      <c r="I251" s="106">
        <f t="shared" si="39"/>
        <v>0.14225043632475409</v>
      </c>
      <c r="J251" s="106">
        <f t="shared" si="39"/>
        <v>0.1601312736197027</v>
      </c>
      <c r="K251" s="107">
        <f t="shared" si="39"/>
        <v>0.17792984857007066</v>
      </c>
      <c r="L251" s="83">
        <f t="shared" si="43"/>
        <v>-1.9246991671686925E-278</v>
      </c>
      <c r="M251" s="83">
        <f t="shared" si="42"/>
        <v>0.74616697078412653</v>
      </c>
      <c r="N251" s="83">
        <f t="shared" si="44"/>
        <v>6.0542032920221638E-30</v>
      </c>
    </row>
    <row r="252" spans="1:14">
      <c r="A252" s="81">
        <f t="shared" si="40"/>
        <v>5</v>
      </c>
      <c r="B252" s="81">
        <f t="shared" si="41"/>
        <v>1608</v>
      </c>
      <c r="C252" s="82">
        <f t="shared" si="36"/>
        <v>40.09985045469837</v>
      </c>
      <c r="D252" s="83">
        <f t="shared" si="37"/>
        <v>5.1800882068824716E-2</v>
      </c>
      <c r="E252" s="105">
        <f t="shared" si="39"/>
        <v>6.9911426675571153E-2</v>
      </c>
      <c r="F252" s="106">
        <f t="shared" si="39"/>
        <v>8.7985837724254612E-2</v>
      </c>
      <c r="G252" s="106">
        <f t="shared" si="39"/>
        <v>0.10601484188860133</v>
      </c>
      <c r="H252" s="106">
        <f t="shared" si="39"/>
        <v>0.12398923612922141</v>
      </c>
      <c r="I252" s="106">
        <f t="shared" si="39"/>
        <v>0.14189990178235723</v>
      </c>
      <c r="J252" s="106">
        <f t="shared" si="39"/>
        <v>0.15973781843139467</v>
      </c>
      <c r="K252" s="107">
        <f t="shared" si="39"/>
        <v>0.17749407752598789</v>
      </c>
      <c r="L252" s="83">
        <f t="shared" si="43"/>
        <v>-7.2937063741285039E-280</v>
      </c>
      <c r="M252" s="83">
        <f t="shared" si="42"/>
        <v>0.74498247205835377</v>
      </c>
      <c r="N252" s="83">
        <f t="shared" si="44"/>
        <v>4.3248125128811565E-30</v>
      </c>
    </row>
    <row r="253" spans="1:14">
      <c r="A253" s="81">
        <f t="shared" si="40"/>
        <v>5</v>
      </c>
      <c r="B253" s="81">
        <f t="shared" si="41"/>
        <v>1616</v>
      </c>
      <c r="C253" s="82">
        <f t="shared" si="36"/>
        <v>40.199477689258266</v>
      </c>
      <c r="D253" s="83">
        <f t="shared" si="37"/>
        <v>5.1672682676707105E-2</v>
      </c>
      <c r="E253" s="105">
        <f t="shared" si="39"/>
        <v>6.9738606116216406E-2</v>
      </c>
      <c r="F253" s="106">
        <f t="shared" si="39"/>
        <v>8.7768663277925318E-2</v>
      </c>
      <c r="G253" s="106">
        <f t="shared" si="39"/>
        <v>0.10575364892707406</v>
      </c>
      <c r="H253" s="106">
        <f t="shared" si="39"/>
        <v>0.12368442725277573</v>
      </c>
      <c r="I253" s="106">
        <f t="shared" si="39"/>
        <v>0.14155194578569064</v>
      </c>
      <c r="J253" s="106">
        <f t="shared" si="39"/>
        <v>0.15934724910218523</v>
      </c>
      <c r="K253" s="107">
        <f t="shared" si="39"/>
        <v>0.1770614922804099</v>
      </c>
      <c r="L253" s="83">
        <f t="shared" si="43"/>
        <v>-2.763984796014348E-281</v>
      </c>
      <c r="M253" s="83">
        <f t="shared" si="42"/>
        <v>0.74380298471606787</v>
      </c>
      <c r="N253" s="83">
        <f t="shared" si="44"/>
        <v>3.0894243832578836E-30</v>
      </c>
    </row>
    <row r="254" spans="1:14">
      <c r="A254" s="81">
        <f t="shared" si="40"/>
        <v>5</v>
      </c>
      <c r="B254" s="81">
        <f t="shared" si="41"/>
        <v>1624</v>
      </c>
      <c r="C254" s="82">
        <f t="shared" si="36"/>
        <v>40.298858625141889</v>
      </c>
      <c r="D254" s="83">
        <f t="shared" si="37"/>
        <v>5.1545430419419169E-2</v>
      </c>
      <c r="E254" s="105">
        <f t="shared" si="39"/>
        <v>6.9567060883287679E-2</v>
      </c>
      <c r="F254" s="106">
        <f t="shared" si="39"/>
        <v>8.7553089070675716E-2</v>
      </c>
      <c r="G254" s="106">
        <f t="shared" si="39"/>
        <v>0.10549437700915543</v>
      </c>
      <c r="H254" s="106">
        <f t="shared" si="39"/>
        <v>0.12338185530192325</v>
      </c>
      <c r="I254" s="106">
        <f t="shared" si="39"/>
        <v>0.14120653687729501</v>
      </c>
      <c r="J254" s="106">
        <f t="shared" si="39"/>
        <v>0.15895953052832201</v>
      </c>
      <c r="K254" s="107">
        <f t="shared" si="39"/>
        <v>0.176632054208542</v>
      </c>
      <c r="L254" s="83">
        <f t="shared" si="43"/>
        <v>-1.0474299257627385E-282</v>
      </c>
      <c r="M254" s="83">
        <f t="shared" si="42"/>
        <v>0.74262848155018535</v>
      </c>
      <c r="N254" s="83">
        <f t="shared" si="44"/>
        <v>2.2069264254671049E-30</v>
      </c>
    </row>
    <row r="255" spans="1:14">
      <c r="A255" s="81">
        <f t="shared" si="40"/>
        <v>5</v>
      </c>
      <c r="B255" s="81">
        <f t="shared" si="41"/>
        <v>1632</v>
      </c>
      <c r="C255" s="82">
        <f t="shared" si="36"/>
        <v>40.397995080067687</v>
      </c>
      <c r="D255" s="83">
        <f t="shared" si="37"/>
        <v>5.1419113691758778E-2</v>
      </c>
      <c r="E255" s="105">
        <f t="shared" si="39"/>
        <v>6.9396775368181896E-2</v>
      </c>
      <c r="F255" s="106">
        <f t="shared" si="39"/>
        <v>8.7339095546541845E-2</v>
      </c>
      <c r="G255" s="106">
        <f t="shared" si="39"/>
        <v>0.10523700270162806</v>
      </c>
      <c r="H255" s="106">
        <f t="shared" si="39"/>
        <v>0.12308149305004479</v>
      </c>
      <c r="I255" s="106">
        <f t="shared" si="39"/>
        <v>0.14086364413435781</v>
      </c>
      <c r="J255" s="106">
        <f t="shared" si="39"/>
        <v>0.15857462820091972</v>
      </c>
      <c r="K255" s="107">
        <f t="shared" si="39"/>
        <v>0.17620572533795498</v>
      </c>
      <c r="L255" s="83">
        <f t="shared" si="43"/>
        <v>-3.9693213224097229E-284</v>
      </c>
      <c r="M255" s="83">
        <f t="shared" si="42"/>
        <v>0.74145893539632146</v>
      </c>
      <c r="N255" s="83">
        <f t="shared" si="44"/>
        <v>1.5765151184211798E-30</v>
      </c>
    </row>
    <row r="256" spans="1:14">
      <c r="A256" s="81">
        <f t="shared" si="40"/>
        <v>5</v>
      </c>
      <c r="B256" s="81">
        <f t="shared" si="41"/>
        <v>1640</v>
      </c>
      <c r="C256" s="82">
        <f t="shared" si="36"/>
        <v>40.496888849505126</v>
      </c>
      <c r="D256" s="83">
        <f t="shared" si="37"/>
        <v>5.1293721086630217E-2</v>
      </c>
      <c r="E256" s="105">
        <f t="shared" si="39"/>
        <v>6.9227734228438198E-2</v>
      </c>
      <c r="F256" s="106">
        <f t="shared" si="39"/>
        <v>8.7126663482512301E-2</v>
      </c>
      <c r="G256" s="106">
        <f t="shared" si="39"/>
        <v>0.1049815029695067</v>
      </c>
      <c r="H256" s="106">
        <f t="shared" si="39"/>
        <v>0.1227833137322043</v>
      </c>
      <c r="I256" s="106">
        <f t="shared" si="39"/>
        <v>0.14052323715708726</v>
      </c>
      <c r="J256" s="106">
        <f t="shared" si="39"/>
        <v>0.1581925081930633</v>
      </c>
      <c r="K256" s="107">
        <f t="shared" si="39"/>
        <v>0.17578246833448885</v>
      </c>
      <c r="L256" s="83">
        <f t="shared" si="43"/>
        <v>-1.5042135088261479E-285</v>
      </c>
      <c r="M256" s="83">
        <f t="shared" si="42"/>
        <v>0.74029431913820765</v>
      </c>
      <c r="N256" s="83">
        <f t="shared" si="44"/>
        <v>1.1261815935184616E-30</v>
      </c>
    </row>
    <row r="257" spans="1:14">
      <c r="A257" s="81">
        <f t="shared" si="40"/>
        <v>5</v>
      </c>
      <c r="B257" s="81">
        <f t="shared" si="41"/>
        <v>1648</v>
      </c>
      <c r="C257" s="82">
        <f t="shared" si="36"/>
        <v>40.595541707054146</v>
      </c>
      <c r="D257" s="83">
        <f t="shared" si="37"/>
        <v>5.1169241390717213E-2</v>
      </c>
      <c r="E257" s="105">
        <f t="shared" si="39"/>
        <v>6.9059922381930594E-2</v>
      </c>
      <c r="F257" s="106">
        <f t="shared" si="39"/>
        <v>8.6915773981274258E-2</v>
      </c>
      <c r="G257" s="106">
        <f t="shared" si="39"/>
        <v>0.10472785516737759</v>
      </c>
      <c r="H257" s="106">
        <f t="shared" si="39"/>
        <v>0.12248729103513178</v>
      </c>
      <c r="I257" s="106">
        <f t="shared" si="39"/>
        <v>0.14018528605739378</v>
      </c>
      <c r="J257" s="106">
        <f t="shared" si="39"/>
        <v>0.15781313714725043</v>
      </c>
      <c r="K257" s="107">
        <f t="shared" si="39"/>
        <v>0.1753622464885265</v>
      </c>
      <c r="L257" s="83">
        <f t="shared" si="43"/>
        <v>-5.7003911495432938E-287</v>
      </c>
      <c r="M257" s="83">
        <f t="shared" si="42"/>
        <v>0.73913460571285583</v>
      </c>
      <c r="N257" s="83">
        <f t="shared" si="44"/>
        <v>8.0448640597237194E-31</v>
      </c>
    </row>
    <row r="258" spans="1:14">
      <c r="A258" s="81">
        <f t="shared" si="40"/>
        <v>5</v>
      </c>
      <c r="B258" s="81">
        <f t="shared" si="41"/>
        <v>1656</v>
      </c>
      <c r="C258" s="82">
        <f t="shared" si="36"/>
        <v>40.693955404816244</v>
      </c>
      <c r="D258" s="83">
        <f t="shared" si="37"/>
        <v>5.1045663580270961E-2</v>
      </c>
      <c r="E258" s="105">
        <f t="shared" si="39"/>
        <v>6.8893325001216921E-2</v>
      </c>
      <c r="F258" s="106">
        <f t="shared" si="39"/>
        <v>8.6706408464153117E-2</v>
      </c>
      <c r="G258" s="106">
        <f t="shared" si="39"/>
        <v>0.10447603703096897</v>
      </c>
      <c r="H258" s="106">
        <f t="shared" si="39"/>
        <v>0.12219339908747062</v>
      </c>
      <c r="I258" s="106">
        <f t="shared" si="39"/>
        <v>0.13984976144786909</v>
      </c>
      <c r="J258" s="106">
        <f t="shared" si="39"/>
        <v>0.15743648226316287</v>
      </c>
      <c r="K258" s="107">
        <f t="shared" si="39"/>
        <v>0.17494502370162635</v>
      </c>
      <c r="L258" s="83">
        <f t="shared" si="43"/>
        <v>-2.1602388452485284E-288</v>
      </c>
      <c r="M258" s="83">
        <f t="shared" si="42"/>
        <v>0.73797976811548471</v>
      </c>
      <c r="N258" s="83">
        <f t="shared" si="44"/>
        <v>5.7468385304749139E-31</v>
      </c>
    </row>
    <row r="259" spans="1:14">
      <c r="A259" s="81">
        <f t="shared" si="40"/>
        <v>5</v>
      </c>
      <c r="B259" s="81">
        <f t="shared" si="41"/>
        <v>1664</v>
      </c>
      <c r="C259" s="82">
        <f t="shared" si="36"/>
        <v>40.792131673757538</v>
      </c>
      <c r="D259" s="83">
        <f t="shared" si="37"/>
        <v>5.0922976817009635E-2</v>
      </c>
      <c r="E259" s="105">
        <f t="shared" si="39"/>
        <v>6.8727927508035469E-2</v>
      </c>
      <c r="F259" s="106">
        <f t="shared" si="39"/>
        <v>8.6498548664237118E-2</v>
      </c>
      <c r="G259" s="106">
        <f t="shared" si="39"/>
        <v>0.10422602666894276</v>
      </c>
      <c r="H259" s="106">
        <f t="shared" si="39"/>
        <v>0.12190161245028164</v>
      </c>
      <c r="I259" s="106">
        <f t="shared" si="39"/>
        <v>0.13951663443105478</v>
      </c>
      <c r="J259" s="106">
        <f t="shared" si="39"/>
        <v>0.15706251128575999</v>
      </c>
      <c r="K259" s="107">
        <f t="shared" si="39"/>
        <v>0.17453076447350346</v>
      </c>
      <c r="L259" s="83">
        <f t="shared" si="43"/>
        <v>-8.186548205772352E-290</v>
      </c>
      <c r="M259" s="83">
        <f t="shared" si="42"/>
        <v>0.73682977940421091</v>
      </c>
      <c r="N259" s="83">
        <f t="shared" si="44"/>
        <v>4.1052468817584058E-31</v>
      </c>
    </row>
    <row r="260" spans="1:14">
      <c r="A260" s="81">
        <f t="shared" si="40"/>
        <v>5</v>
      </c>
      <c r="B260" s="81">
        <f t="shared" si="41"/>
        <v>1672</v>
      </c>
      <c r="C260" s="82">
        <f t="shared" ref="C260:C322" si="45">IF((B260-$C$13/$C$16*A260)&gt;0,SQRT(B260-$C$13/$C$16*A260),0)</f>
        <v>40.890072224064035</v>
      </c>
      <c r="D260" s="83">
        <f t="shared" ref="D260:D322" si="46">IF(C260&gt;0,$C$9*(EXP(-$C$12*$B260/$C$14)-EXP(-$C$12*$A260/$C$16)*EXP(-$C$12*$C260^2/$C$14)*2*NORMSDIST(-$C$13*$A260/$C$16/(2*$C$36*$C260)*SQRT(2))),$C$9*EXP(-$C$12*$B260/$C$14))</f>
        <v>5.0801170444125798E-2</v>
      </c>
      <c r="E260" s="105">
        <f t="shared" ref="E260:K291" si="47">IF($C260&gt;0,$C$9*(EXP(-$C$12*$B260/$C$14)-EXP(-$C$12*$A260/$C$16)*EXP(-$C$12*$C260^2/$C$14)*2*NORMSDIST(-($C$13*$A260/$C$16/$C$36+$C$38*E$50)/(2*$C260)*SQRT(2))),$C$9*EXP(-$C$12*$B260/$C$14))</f>
        <v>6.8563715567947048E-2</v>
      </c>
      <c r="F260" s="106">
        <f t="shared" si="47"/>
        <v>8.6292176619684247E-2</v>
      </c>
      <c r="G260" s="106">
        <f t="shared" si="47"/>
        <v>0.10397780255490141</v>
      </c>
      <c r="H260" s="106">
        <f t="shared" si="47"/>
        <v>0.12161190610779515</v>
      </c>
      <c r="I260" s="106">
        <f t="shared" si="47"/>
        <v>0.13918587658899018</v>
      </c>
      <c r="J260" s="106">
        <f t="shared" si="47"/>
        <v>0.15669119249367824</v>
      </c>
      <c r="K260" s="107">
        <f t="shared" si="47"/>
        <v>0.17411943388934659</v>
      </c>
      <c r="L260" s="83">
        <f t="shared" si="43"/>
        <v>-3.1024287049913302E-291</v>
      </c>
      <c r="M260" s="83">
        <f t="shared" si="42"/>
        <v>0.73568461270451202</v>
      </c>
      <c r="N260" s="83">
        <f t="shared" si="44"/>
        <v>2.9325779506100294E-31</v>
      </c>
    </row>
    <row r="261" spans="1:14">
      <c r="A261" s="81">
        <f t="shared" si="40"/>
        <v>5</v>
      </c>
      <c r="B261" s="81">
        <f t="shared" si="41"/>
        <v>1680</v>
      </c>
      <c r="C261" s="82">
        <f t="shared" si="45"/>
        <v>40.987778745489159</v>
      </c>
      <c r="D261" s="83">
        <f t="shared" si="46"/>
        <v>5.0680233982397516E-2</v>
      </c>
      <c r="E261" s="105">
        <f t="shared" si="47"/>
        <v>6.8400675085116269E-2</v>
      </c>
      <c r="F261" s="106">
        <f t="shared" si="47"/>
        <v>8.6087274667202118E-2</v>
      </c>
      <c r="G261" s="106">
        <f t="shared" si="47"/>
        <v>0.103731343519603</v>
      </c>
      <c r="H261" s="106">
        <f t="shared" si="47"/>
        <v>0.12132425545840286</v>
      </c>
      <c r="I261" s="106">
        <f t="shared" si="47"/>
        <v>0.13885745997303056</v>
      </c>
      <c r="J261" s="106">
        <f t="shared" si="47"/>
        <v>0.15632249468793336</v>
      </c>
      <c r="K261" s="107">
        <f t="shared" si="47"/>
        <v>0.17371099760746467</v>
      </c>
      <c r="L261" s="83">
        <f t="shared" si="43"/>
        <v>0</v>
      </c>
      <c r="M261" s="83">
        <f t="shared" si="42"/>
        <v>0.73454424121348394</v>
      </c>
      <c r="N261" s="83">
        <f t="shared" si="44"/>
        <v>2.0948833734259085E-31</v>
      </c>
    </row>
    <row r="262" spans="1:14">
      <c r="A262" s="81">
        <f t="shared" si="40"/>
        <v>5</v>
      </c>
      <c r="B262" s="81">
        <f t="shared" si="41"/>
        <v>1688</v>
      </c>
      <c r="C262" s="82">
        <f t="shared" si="45"/>
        <v>41.085252907693935</v>
      </c>
      <c r="D262" s="83">
        <f t="shared" si="46"/>
        <v>5.0560157126402716E-2</v>
      </c>
      <c r="E262" s="105">
        <f t="shared" si="47"/>
        <v>6.823879219722917E-2</v>
      </c>
      <c r="F262" s="106">
        <f t="shared" si="47"/>
        <v>8.5883825435698169E-2</v>
      </c>
      <c r="G262" s="106">
        <f t="shared" si="47"/>
        <v>0.10348662874337844</v>
      </c>
      <c r="H262" s="106">
        <f t="shared" si="47"/>
        <v>0.12103863630588441</v>
      </c>
      <c r="I262" s="106">
        <f t="shared" si="47"/>
        <v>0.13853135709393083</v>
      </c>
      <c r="J262" s="106">
        <f t="shared" si="47"/>
        <v>0.15595638718091309</v>
      </c>
      <c r="K262" s="107">
        <f t="shared" si="47"/>
        <v>0.17330542184724829</v>
      </c>
      <c r="L262" s="83">
        <f t="shared" si="43"/>
        <v>0</v>
      </c>
      <c r="M262" s="83">
        <f t="shared" si="42"/>
        <v>0.7334086382038838</v>
      </c>
      <c r="N262" s="83">
        <f t="shared" si="44"/>
        <v>1.4964773050085233E-31</v>
      </c>
    </row>
    <row r="263" spans="1:14">
      <c r="A263" s="81">
        <f t="shared" si="40"/>
        <v>5</v>
      </c>
      <c r="B263" s="81">
        <f t="shared" si="41"/>
        <v>1696</v>
      </c>
      <c r="C263" s="82">
        <f t="shared" si="45"/>
        <v>41.182496360579854</v>
      </c>
      <c r="D263" s="83">
        <f t="shared" si="46"/>
        <v>5.0440929740830143E-2</v>
      </c>
      <c r="E263" s="105">
        <f t="shared" si="47"/>
        <v>6.8078053270543837E-2</v>
      </c>
      <c r="F263" s="106">
        <f t="shared" si="47"/>
        <v>8.5681811840093713E-2</v>
      </c>
      <c r="G263" s="106">
        <f t="shared" si="47"/>
        <v>0.1032436377487449</v>
      </c>
      <c r="H263" s="106">
        <f t="shared" si="47"/>
        <v>0.12075502485085865</v>
      </c>
      <c r="I263" s="106">
        <f t="shared" si="47"/>
        <v>0.13820754091218079</v>
      </c>
      <c r="J263" s="106">
        <f t="shared" si="47"/>
        <v>0.15559283978565075</v>
      </c>
      <c r="K263" s="107">
        <f t="shared" si="47"/>
        <v>0.17290267337743881</v>
      </c>
      <c r="L263" s="83">
        <f t="shared" si="43"/>
        <v>0</v>
      </c>
      <c r="M263" s="83">
        <f t="shared" si="42"/>
        <v>0.73227777702797558</v>
      </c>
      <c r="N263" s="83">
        <f t="shared" si="44"/>
        <v>1.0690066820966848E-31</v>
      </c>
    </row>
    <row r="264" spans="1:14">
      <c r="A264" s="81">
        <f t="shared" si="40"/>
        <v>5</v>
      </c>
      <c r="B264" s="81">
        <f t="shared" si="41"/>
        <v>1704</v>
      </c>
      <c r="C264" s="82">
        <f t="shared" si="45"/>
        <v>41.279510734614732</v>
      </c>
      <c r="D264" s="83">
        <f t="shared" si="46"/>
        <v>5.0322541856885561E-2</v>
      </c>
      <c r="E264" s="105">
        <f t="shared" si="47"/>
        <v>6.7918444895066044E-2</v>
      </c>
      <c r="F264" s="106">
        <f t="shared" si="47"/>
        <v>8.5481217075298765E-2</v>
      </c>
      <c r="G264" s="106">
        <f t="shared" si="47"/>
        <v>0.10300235039320804</v>
      </c>
      <c r="H264" s="106">
        <f t="shared" si="47"/>
        <v>0.12047339768245435</v>
      </c>
      <c r="I264" s="106">
        <f t="shared" si="47"/>
        <v>0.13788598482859116</v>
      </c>
      <c r="J264" s="106">
        <f t="shared" si="47"/>
        <v>0.15523182280537373</v>
      </c>
      <c r="K264" s="107">
        <f t="shared" si="47"/>
        <v>0.1725027195046982</v>
      </c>
      <c r="L264" s="83">
        <f t="shared" si="43"/>
        <v>0</v>
      </c>
      <c r="M264" s="83">
        <f t="shared" si="42"/>
        <v>0.73115163112118764</v>
      </c>
      <c r="N264" s="83">
        <f t="shared" si="44"/>
        <v>7.6364357985426987E-32</v>
      </c>
    </row>
    <row r="265" spans="1:14">
      <c r="A265" s="81">
        <f t="shared" si="40"/>
        <v>5</v>
      </c>
      <c r="B265" s="81">
        <f t="shared" si="41"/>
        <v>1712</v>
      </c>
      <c r="C265" s="82">
        <f t="shared" si="45"/>
        <v>41.376297641151666</v>
      </c>
      <c r="D265" s="83">
        <f t="shared" si="46"/>
        <v>5.0204983668791225E-2</v>
      </c>
      <c r="E265" s="105">
        <f t="shared" si="47"/>
        <v>6.7759953879851231E-2</v>
      </c>
      <c r="F265" s="106">
        <f t="shared" si="47"/>
        <v>8.5282024610338514E-2</v>
      </c>
      <c r="G265" s="106">
        <f t="shared" si="47"/>
        <v>0.10276274686224984</v>
      </c>
      <c r="H265" s="106">
        <f t="shared" si="47"/>
        <v>0.12019373177019554</v>
      </c>
      <c r="I265" s="106">
        <f t="shared" si="47"/>
        <v>0.13756666267511619</v>
      </c>
      <c r="J265" s="106">
        <f t="shared" si="47"/>
        <v>0.15487330702331725</v>
      </c>
      <c r="K265" s="107">
        <f t="shared" si="47"/>
        <v>0.1721055280624646</v>
      </c>
      <c r="L265" s="83">
        <f t="shared" si="43"/>
        <v>0</v>
      </c>
      <c r="M265" s="83">
        <f t="shared" si="42"/>
        <v>0.73003017400558301</v>
      </c>
      <c r="N265" s="83">
        <f t="shared" si="44"/>
        <v>5.4550783154029183E-32</v>
      </c>
    </row>
    <row r="266" spans="1:14">
      <c r="A266" s="81">
        <f t="shared" si="40"/>
        <v>5</v>
      </c>
      <c r="B266" s="81">
        <f t="shared" si="41"/>
        <v>1720</v>
      </c>
      <c r="C266" s="82">
        <f t="shared" si="45"/>
        <v>41.472858672741296</v>
      </c>
      <c r="D266" s="83">
        <f t="shared" si="46"/>
        <v>5.0088245530374609E-2</v>
      </c>
      <c r="E266" s="105">
        <f t="shared" si="47"/>
        <v>6.7602567248424394E-2</v>
      </c>
      <c r="F266" s="106">
        <f t="shared" si="47"/>
        <v>8.5084218182633231E-2</v>
      </c>
      <c r="G266" s="106">
        <f t="shared" si="47"/>
        <v>0.10252480766249361</v>
      </c>
      <c r="H266" s="106">
        <f t="shared" si="47"/>
        <v>0.11991600445609008</v>
      </c>
      <c r="I266" s="106">
        <f t="shared" si="47"/>
        <v>0.13724954870591155</v>
      </c>
      <c r="J266" s="106">
        <f t="shared" si="47"/>
        <v>0.15451726369279561</v>
      </c>
      <c r="K266" s="107">
        <f t="shared" si="47"/>
        <v>0.17171106740009257</v>
      </c>
      <c r="L266" s="83">
        <f t="shared" si="43"/>
        <v>0</v>
      </c>
      <c r="M266" s="83">
        <f t="shared" si="42"/>
        <v>0.72891337929315636</v>
      </c>
      <c r="N266" s="83">
        <f t="shared" si="44"/>
        <v>3.8968283387987853E-32</v>
      </c>
    </row>
    <row r="267" spans="1:14">
      <c r="A267" s="81">
        <f t="shared" si="40"/>
        <v>5</v>
      </c>
      <c r="B267" s="81">
        <f t="shared" si="41"/>
        <v>1728</v>
      </c>
      <c r="C267" s="82">
        <f t="shared" si="45"/>
        <v>41.56919540343754</v>
      </c>
      <c r="D267" s="83">
        <f t="shared" si="46"/>
        <v>4.997231795174284E-2</v>
      </c>
      <c r="E267" s="105">
        <f t="shared" si="47"/>
        <v>6.7446272234318538E-2</v>
      </c>
      <c r="F267" s="106">
        <f t="shared" si="47"/>
        <v>8.4887781792419403E-2</v>
      </c>
      <c r="G267" s="106">
        <f t="shared" si="47"/>
        <v>0.10228851361504354</v>
      </c>
      <c r="H267" s="106">
        <f t="shared" si="47"/>
        <v>0.11964019344692001</v>
      </c>
      <c r="I267" s="106">
        <f t="shared" si="47"/>
        <v>0.13693461758861547</v>
      </c>
      <c r="J267" s="106">
        <f t="shared" si="47"/>
        <v>0.15416366452752217</v>
      </c>
      <c r="K267" s="107">
        <f t="shared" si="47"/>
        <v>0.171319306372262</v>
      </c>
      <c r="L267" s="83">
        <f t="shared" si="43"/>
        <v>0</v>
      </c>
      <c r="M267" s="83">
        <f t="shared" si="42"/>
        <v>0.72780122068895747</v>
      </c>
      <c r="N267" s="83">
        <f t="shared" si="44"/>
        <v>2.783694426382202E-32</v>
      </c>
    </row>
    <row r="268" spans="1:14">
      <c r="A268" s="81">
        <f t="shared" si="40"/>
        <v>5</v>
      </c>
      <c r="B268" s="81">
        <f t="shared" si="41"/>
        <v>1736</v>
      </c>
      <c r="C268" s="82">
        <f t="shared" si="45"/>
        <v>41.665309389096983</v>
      </c>
      <c r="D268" s="83">
        <f t="shared" si="46"/>
        <v>4.9857191596043959E-2</v>
      </c>
      <c r="E268" s="105">
        <f t="shared" si="47"/>
        <v>6.7291056276724603E-2</v>
      </c>
      <c r="F268" s="106">
        <f t="shared" si="47"/>
        <v>8.4692699697315854E-2</v>
      </c>
      <c r="G268" s="106">
        <f t="shared" si="47"/>
        <v>0.10205384584899102</v>
      </c>
      <c r="H268" s="106">
        <f t="shared" si="47"/>
        <v>0.11936627680672673</v>
      </c>
      <c r="I268" s="106">
        <f t="shared" si="47"/>
        <v>0.13662184439585157</v>
      </c>
      <c r="J268" s="106">
        <f t="shared" si="47"/>
        <v>0.15381248169217443</v>
      </c>
      <c r="K268" s="107">
        <f t="shared" si="47"/>
        <v>0.17093021432865418</v>
      </c>
      <c r="L268" s="83">
        <f t="shared" si="43"/>
        <v>0</v>
      </c>
      <c r="M268" s="83">
        <f t="shared" si="42"/>
        <v>0.72669367199405643</v>
      </c>
      <c r="N268" s="83">
        <f t="shared" si="44"/>
        <v>1.9885286150069382E-32</v>
      </c>
    </row>
    <row r="269" spans="1:14">
      <c r="A269" s="81">
        <f t="shared" si="40"/>
        <v>5</v>
      </c>
      <c r="B269" s="81">
        <f t="shared" si="41"/>
        <v>1744</v>
      </c>
      <c r="C269" s="82">
        <f t="shared" si="45"/>
        <v>41.761202167672003</v>
      </c>
      <c r="D269" s="83">
        <f t="shared" si="46"/>
        <v>4.974285727630634E-2</v>
      </c>
      <c r="E269" s="105">
        <f t="shared" si="47"/>
        <v>6.7136907016250635E-2</v>
      </c>
      <c r="F269" s="106">
        <f t="shared" si="47"/>
        <v>8.4498956407023762E-2</v>
      </c>
      <c r="G269" s="106">
        <f t="shared" si="47"/>
        <v>0.10182078579508613</v>
      </c>
      <c r="H269" s="106">
        <f t="shared" si="47"/>
        <v>0.11909423294948307</v>
      </c>
      <c r="I269" s="106">
        <f t="shared" si="47"/>
        <v>0.13631120459694168</v>
      </c>
      <c r="J269" s="106">
        <f t="shared" si="47"/>
        <v>0.15346368779319075</v>
      </c>
      <c r="K269" s="107">
        <f t="shared" si="47"/>
        <v>0.17054376110388403</v>
      </c>
      <c r="L269" s="83">
        <f t="shared" si="43"/>
        <v>0</v>
      </c>
      <c r="M269" s="83">
        <f t="shared" si="42"/>
        <v>0.7255907071083485</v>
      </c>
      <c r="N269" s="83">
        <f t="shared" si="44"/>
        <v>1.420502916995975E-32</v>
      </c>
    </row>
    <row r="270" spans="1:14">
      <c r="A270" s="81">
        <f t="shared" si="40"/>
        <v>5</v>
      </c>
      <c r="B270" s="81">
        <f t="shared" si="41"/>
        <v>1752</v>
      </c>
      <c r="C270" s="82">
        <f t="shared" si="45"/>
        <v>41.856875259497968</v>
      </c>
      <c r="D270" s="83">
        <f t="shared" si="46"/>
        <v>4.9629305952361147E-2</v>
      </c>
      <c r="E270" s="105">
        <f t="shared" si="47"/>
        <v>6.6983812290789535E-2</v>
      </c>
      <c r="F270" s="106">
        <f t="shared" si="47"/>
        <v>8.4306536678160571E-2</v>
      </c>
      <c r="G270" s="106">
        <f t="shared" si="47"/>
        <v>0.10158931517956438</v>
      </c>
      <c r="H270" s="106">
        <f t="shared" si="47"/>
        <v>0.11882404063194851</v>
      </c>
      <c r="I270" s="106">
        <f t="shared" si="47"/>
        <v>0.1360026740498268</v>
      </c>
      <c r="J270" s="106">
        <f t="shared" si="47"/>
        <v>0.15311725586979907</v>
      </c>
      <c r="K270" s="107">
        <f t="shared" si="47"/>
        <v>0.17015991700767952</v>
      </c>
      <c r="L270" s="83">
        <f t="shared" si="43"/>
        <v>0</v>
      </c>
      <c r="M270" s="83">
        <f t="shared" si="42"/>
        <v>0.72449230003320864</v>
      </c>
      <c r="N270" s="83">
        <f t="shared" si="44"/>
        <v>1.0147344735026921E-32</v>
      </c>
    </row>
    <row r="271" spans="1:14">
      <c r="A271" s="81">
        <f t="shared" si="40"/>
        <v>5</v>
      </c>
      <c r="B271" s="81">
        <f t="shared" si="41"/>
        <v>1760</v>
      </c>
      <c r="C271" s="82">
        <f t="shared" si="45"/>
        <v>41.952330167574395</v>
      </c>
      <c r="D271" s="83">
        <f t="shared" si="46"/>
        <v>4.951652872783896E-2</v>
      </c>
      <c r="E271" s="105">
        <f t="shared" si="47"/>
        <v>6.683176013148806E-2</v>
      </c>
      <c r="F271" s="106">
        <f t="shared" si="47"/>
        <v>8.4115425509222241E-2</v>
      </c>
      <c r="G271" s="106">
        <f t="shared" si="47"/>
        <v>0.10135941601812948</v>
      </c>
      <c r="H271" s="106">
        <f t="shared" si="47"/>
        <v>0.11855567894670282</v>
      </c>
      <c r="I271" s="106">
        <f t="shared" si="47"/>
        <v>0.13569622899318645</v>
      </c>
      <c r="J271" s="106">
        <f t="shared" si="47"/>
        <v>0.15277315938526526</v>
      </c>
      <c r="K271" s="107">
        <f t="shared" si="47"/>
        <v>0.16977865281530646</v>
      </c>
      <c r="L271" s="83">
        <f t="shared" si="43"/>
        <v>0</v>
      </c>
      <c r="M271" s="83">
        <f t="shared" si="42"/>
        <v>0.72339842487400396</v>
      </c>
      <c r="N271" s="83">
        <f t="shared" si="44"/>
        <v>7.2487429585313778E-33</v>
      </c>
    </row>
    <row r="272" spans="1:14">
      <c r="A272" s="81">
        <f t="shared" si="40"/>
        <v>5</v>
      </c>
      <c r="B272" s="81">
        <f t="shared" si="41"/>
        <v>1768</v>
      </c>
      <c r="C272" s="82">
        <f t="shared" si="45"/>
        <v>42.047568377840506</v>
      </c>
      <c r="D272" s="83">
        <f t="shared" si="46"/>
        <v>4.9404516847242563E-2</v>
      </c>
      <c r="E272" s="105">
        <f t="shared" si="47"/>
        <v>6.668073875881575E-2</v>
      </c>
      <c r="F272" s="106">
        <f t="shared" si="47"/>
        <v>8.392560813567207E-2</v>
      </c>
      <c r="G272" s="106">
        <f t="shared" si="47"/>
        <v>0.10113107061008497</v>
      </c>
      <c r="H272" s="106">
        <f t="shared" si="47"/>
        <v>0.11828912731535146</v>
      </c>
      <c r="I272" s="106">
        <f t="shared" si="47"/>
        <v>0.13539184603875465</v>
      </c>
      <c r="J272" s="106">
        <f t="shared" si="47"/>
        <v>0.15243137221835679</v>
      </c>
      <c r="K272" s="107">
        <f t="shared" si="47"/>
        <v>0.16939993975822421</v>
      </c>
      <c r="L272" s="83">
        <f t="shared" si="43"/>
        <v>0</v>
      </c>
      <c r="M272" s="83">
        <f t="shared" si="42"/>
        <v>0.72230905584246408</v>
      </c>
      <c r="N272" s="83">
        <f t="shared" si="44"/>
        <v>5.1781304223836532E-33</v>
      </c>
    </row>
    <row r="273" spans="1:14">
      <c r="A273" s="81">
        <f t="shared" si="40"/>
        <v>5</v>
      </c>
      <c r="B273" s="81">
        <f t="shared" si="41"/>
        <v>1776</v>
      </c>
      <c r="C273" s="82">
        <f t="shared" si="45"/>
        <v>42.142591359445056</v>
      </c>
      <c r="D273" s="83">
        <f t="shared" si="46"/>
        <v>4.929326169309145E-2</v>
      </c>
      <c r="E273" s="105">
        <f t="shared" si="47"/>
        <v>6.6530736578732652E-2</v>
      </c>
      <c r="F273" s="106">
        <f t="shared" si="47"/>
        <v>8.3737070025148297E-2</v>
      </c>
      <c r="G273" s="106">
        <f t="shared" si="47"/>
        <v>0.10090426153260967</v>
      </c>
      <c r="H273" s="106">
        <f t="shared" si="47"/>
        <v>0.1180243654818971</v>
      </c>
      <c r="I273" s="106">
        <f t="shared" si="47"/>
        <v>0.13508950216382276</v>
      </c>
      <c r="J273" s="106">
        <f t="shared" si="47"/>
        <v>0.15209186865501656</v>
      </c>
      <c r="K273" s="107">
        <f t="shared" si="47"/>
        <v>0.1690237495149729</v>
      </c>
      <c r="L273" s="83">
        <f t="shared" si="43"/>
        <v>0</v>
      </c>
      <c r="M273" s="83">
        <f t="shared" si="42"/>
        <v>0.72122416725891991</v>
      </c>
      <c r="N273" s="83">
        <f t="shared" si="44"/>
        <v>3.6989909594818785E-33</v>
      </c>
    </row>
    <row r="274" spans="1:14">
      <c r="A274" s="81">
        <f t="shared" si="40"/>
        <v>5</v>
      </c>
      <c r="B274" s="81">
        <f t="shared" si="41"/>
        <v>1784</v>
      </c>
      <c r="C274" s="82">
        <f t="shared" si="45"/>
        <v>42.23740056501078</v>
      </c>
      <c r="D274" s="83">
        <f t="shared" si="46"/>
        <v>4.918275478313805E-2</v>
      </c>
      <c r="E274" s="105">
        <f t="shared" si="47"/>
        <v>6.6381742178951209E-2</v>
      </c>
      <c r="F274" s="106">
        <f t="shared" si="47"/>
        <v>8.3549796872791626E-2</v>
      </c>
      <c r="G274" s="106">
        <f t="shared" si="47"/>
        <v>0.1006789716351737</v>
      </c>
      <c r="H274" s="106">
        <f t="shared" si="47"/>
        <v>0.11776137350627613</v>
      </c>
      <c r="I274" s="106">
        <f t="shared" si="47"/>
        <v>0.13478917470392604</v>
      </c>
      <c r="J274" s="106">
        <f t="shared" si="47"/>
        <v>0.15175462338023915</v>
      </c>
      <c r="K274" s="107">
        <f t="shared" si="47"/>
        <v>0.16865005420228041</v>
      </c>
      <c r="L274" s="83">
        <f t="shared" si="43"/>
        <v>0</v>
      </c>
      <c r="M274" s="83">
        <f t="shared" si="42"/>
        <v>0.72014373355441208</v>
      </c>
      <c r="N274" s="83">
        <f t="shared" si="44"/>
        <v>2.6423695431043573E-33</v>
      </c>
    </row>
    <row r="275" spans="1:14">
      <c r="A275" s="81">
        <f t="shared" si="40"/>
        <v>5</v>
      </c>
      <c r="B275" s="81">
        <f t="shared" si="41"/>
        <v>1792</v>
      </c>
      <c r="C275" s="82">
        <f t="shared" si="45"/>
        <v>42.331997430893487</v>
      </c>
      <c r="D275" s="83">
        <f t="shared" si="46"/>
        <v>4.9072987767650345E-2</v>
      </c>
      <c r="E275" s="105">
        <f t="shared" si="47"/>
        <v>6.6233744325288058E-2</v>
      </c>
      <c r="F275" s="106">
        <f t="shared" si="47"/>
        <v>8.3363774596686202E-2</v>
      </c>
      <c r="G275" s="106">
        <f t="shared" si="47"/>
        <v>0.10045518403409304</v>
      </c>
      <c r="H275" s="106">
        <f t="shared" si="47"/>
        <v>0.11750013175804996</v>
      </c>
      <c r="I275" s="106">
        <f t="shared" si="47"/>
        <v>0.13449084134570977</v>
      </c>
      <c r="J275" s="106">
        <f t="shared" si="47"/>
        <v>0.15141961147014338</v>
      </c>
      <c r="K275" s="107">
        <f t="shared" si="47"/>
        <v>0.16827882636638436</v>
      </c>
      <c r="L275" s="83">
        <f t="shared" si="43"/>
        <v>0</v>
      </c>
      <c r="M275" s="83">
        <f t="shared" si="42"/>
        <v>0.71906772927267859</v>
      </c>
      <c r="N275" s="83">
        <f t="shared" si="44"/>
        <v>1.8875733622510458E-33</v>
      </c>
    </row>
    <row r="276" spans="1:14">
      <c r="A276" s="81">
        <f t="shared" si="40"/>
        <v>5</v>
      </c>
      <c r="B276" s="81">
        <f t="shared" si="41"/>
        <v>1800</v>
      </c>
      <c r="C276" s="82">
        <f t="shared" si="45"/>
        <v>42.42638337743594</v>
      </c>
      <c r="D276" s="83">
        <f t="shared" si="46"/>
        <v>4.8963952426762214E-2</v>
      </c>
      <c r="E276" s="105">
        <f t="shared" si="47"/>
        <v>6.6086731958107325E-2</v>
      </c>
      <c r="F276" s="106">
        <f t="shared" si="47"/>
        <v>8.3178989333413167E-2</v>
      </c>
      <c r="G276" s="106">
        <f t="shared" si="47"/>
        <v>0.10023288210721293</v>
      </c>
      <c r="H276" s="106">
        <f t="shared" si="47"/>
        <v>0.11724062091025189</v>
      </c>
      <c r="I276" s="106">
        <f t="shared" si="47"/>
        <v>0.13419448011996549</v>
      </c>
      <c r="J276" s="106">
        <f t="shared" si="47"/>
        <v>0.15108680838423894</v>
      </c>
      <c r="K276" s="107">
        <f t="shared" si="47"/>
        <v>0.16791003897456491</v>
      </c>
      <c r="L276" s="83">
        <f t="shared" si="43"/>
        <v>0</v>
      </c>
      <c r="M276" s="83">
        <f t="shared" si="42"/>
        <v>0.71799612907202226</v>
      </c>
      <c r="N276" s="83">
        <f t="shared" si="44"/>
        <v>1.3483856590679204E-33</v>
      </c>
    </row>
    <row r="277" spans="1:14">
      <c r="A277" s="81">
        <f t="shared" si="40"/>
        <v>5</v>
      </c>
      <c r="B277" s="81">
        <f t="shared" si="41"/>
        <v>1808</v>
      </c>
      <c r="C277" s="82">
        <f t="shared" si="45"/>
        <v>42.520559809216678</v>
      </c>
      <c r="D277" s="83">
        <f t="shared" si="46"/>
        <v>4.8855640667888611E-2</v>
      </c>
      <c r="E277" s="105">
        <f t="shared" si="47"/>
        <v>6.5940694188848292E-2</v>
      </c>
      <c r="F277" s="106">
        <f t="shared" si="47"/>
        <v>8.2995427433709246E-2</v>
      </c>
      <c r="G277" s="106">
        <f t="shared" si="47"/>
        <v>0.10001204948872422</v>
      </c>
      <c r="H277" s="106">
        <f t="shared" si="47"/>
        <v>0.1169828219333815</v>
      </c>
      <c r="I277" s="106">
        <f t="shared" si="47"/>
        <v>0.13390006939483734</v>
      </c>
      <c r="J277" s="106">
        <f t="shared" si="47"/>
        <v>0.15075618995787576</v>
      </c>
      <c r="K277" s="107">
        <f t="shared" si="47"/>
        <v>0.16754366540687782</v>
      </c>
      <c r="L277" s="83">
        <f t="shared" si="43"/>
        <v>0</v>
      </c>
      <c r="M277" s="83">
        <f t="shared" si="42"/>
        <v>0.71692890772706352</v>
      </c>
      <c r="N277" s="83">
        <f t="shared" si="44"/>
        <v>9.6321760093699504E-34</v>
      </c>
    </row>
    <row r="278" spans="1:14">
      <c r="A278" s="81">
        <f t="shared" si="40"/>
        <v>5</v>
      </c>
      <c r="B278" s="81">
        <f t="shared" si="41"/>
        <v>1816</v>
      </c>
      <c r="C278" s="82">
        <f t="shared" si="45"/>
        <v>42.614528115293886</v>
      </c>
      <c r="D278" s="83">
        <f t="shared" si="46"/>
        <v>4.8748044523201584E-2</v>
      </c>
      <c r="E278" s="105">
        <f t="shared" si="47"/>
        <v>6.5795620296638546E-2</v>
      </c>
      <c r="F278" s="106">
        <f t="shared" si="47"/>
        <v>8.2813075458233687E-2</v>
      </c>
      <c r="G278" s="106">
        <f t="shared" si="47"/>
        <v>9.9792670064102307E-2</v>
      </c>
      <c r="H278" s="106">
        <f t="shared" si="47"/>
        <v>0.11672671608954488</v>
      </c>
      <c r="I278" s="106">
        <f t="shared" si="47"/>
        <v>0.13360758786919136</v>
      </c>
      <c r="J278" s="106">
        <f t="shared" si="47"/>
        <v>0.15042773239487794</v>
      </c>
      <c r="K278" s="107">
        <f t="shared" si="47"/>
        <v>0.16717967944808887</v>
      </c>
      <c r="L278" s="83">
        <f t="shared" si="43"/>
        <v>0</v>
      </c>
      <c r="M278" s="83">
        <f t="shared" si="42"/>
        <v>0.71586604013038535</v>
      </c>
      <c r="N278" s="83">
        <f t="shared" si="44"/>
        <v>6.8807328268097976E-34</v>
      </c>
    </row>
    <row r="279" spans="1:14">
      <c r="A279" s="81">
        <f t="shared" si="40"/>
        <v>5</v>
      </c>
      <c r="B279" s="81">
        <f t="shared" si="41"/>
        <v>1824</v>
      </c>
      <c r="C279" s="82">
        <f t="shared" si="45"/>
        <v>42.708289669444419</v>
      </c>
      <c r="D279" s="83">
        <f t="shared" si="46"/>
        <v>4.8641156147169573E-2</v>
      </c>
      <c r="E279" s="105">
        <f t="shared" si="47"/>
        <v>6.5651499724988849E-2</v>
      </c>
      <c r="F279" s="106">
        <f t="shared" si="47"/>
        <v>8.2631920173434237E-2</v>
      </c>
      <c r="G279" s="106">
        <f t="shared" si="47"/>
        <v>9.9574727965167309E-2</v>
      </c>
      <c r="H279" s="106">
        <f t="shared" si="47"/>
        <v>0.11647228492673278</v>
      </c>
      <c r="I279" s="106">
        <f t="shared" si="47"/>
        <v>0.13331701456614242</v>
      </c>
      <c r="J279" s="106">
        <f t="shared" si="47"/>
        <v>0.15010141226034968</v>
      </c>
      <c r="K279" s="107">
        <f t="shared" si="47"/>
        <v>0.16681805527979621</v>
      </c>
      <c r="L279" s="83">
        <f t="shared" si="43"/>
        <v>0</v>
      </c>
      <c r="M279" s="83">
        <f t="shared" si="42"/>
        <v>0.714807501294074</v>
      </c>
      <c r="N279" s="83">
        <f t="shared" si="44"/>
        <v>4.9152428472944942E-34</v>
      </c>
    </row>
    <row r="280" spans="1:14">
      <c r="A280" s="81">
        <f t="shared" si="40"/>
        <v>5</v>
      </c>
      <c r="B280" s="81">
        <f t="shared" si="41"/>
        <v>1832</v>
      </c>
      <c r="C280" s="82">
        <f t="shared" si="45"/>
        <v>42.801845830398165</v>
      </c>
      <c r="D280" s="83">
        <f t="shared" si="46"/>
        <v>4.8534967814153784E-2</v>
      </c>
      <c r="E280" s="105">
        <f t="shared" si="47"/>
        <v>6.5508322078565051E-2</v>
      </c>
      <c r="F280" s="106">
        <f t="shared" si="47"/>
        <v>8.2451948547514586E-2</v>
      </c>
      <c r="G280" s="106">
        <f t="shared" si="47"/>
        <v>9.9358207565264589E-2</v>
      </c>
      <c r="H280" s="106">
        <f t="shared" si="47"/>
        <v>0.11621951027323907</v>
      </c>
      <c r="I280" s="106">
        <f t="shared" si="47"/>
        <v>0.13302832882673687</v>
      </c>
      <c r="J280" s="106">
        <f t="shared" si="47"/>
        <v>0.14977720647365511</v>
      </c>
      <c r="K280" s="107">
        <f t="shared" si="47"/>
        <v>0.16645876747274135</v>
      </c>
      <c r="L280" s="83">
        <f t="shared" si="43"/>
        <v>0</v>
      </c>
      <c r="M280" s="83">
        <f t="shared" si="42"/>
        <v>0.7137532663511561</v>
      </c>
      <c r="N280" s="83">
        <f t="shared" si="44"/>
        <v>3.511197550607623E-34</v>
      </c>
    </row>
    <row r="281" spans="1:14">
      <c r="A281" s="81">
        <f t="shared" si="40"/>
        <v>5</v>
      </c>
      <c r="B281" s="81">
        <f t="shared" si="41"/>
        <v>1840</v>
      </c>
      <c r="C281" s="82">
        <f t="shared" si="45"/>
        <v>42.895197942067746</v>
      </c>
      <c r="D281" s="83">
        <f t="shared" si="46"/>
        <v>4.8429471916062727E-2</v>
      </c>
      <c r="E281" s="105">
        <f t="shared" si="47"/>
        <v>6.5366077120039945E-2</v>
      </c>
      <c r="F281" s="106">
        <f t="shared" si="47"/>
        <v>8.2273147746495745E-2</v>
      </c>
      <c r="G281" s="106">
        <f t="shared" si="47"/>
        <v>9.9143093474558075E-2</v>
      </c>
      <c r="H281" s="106">
        <f t="shared" si="47"/>
        <v>0.11596837423220818</v>
      </c>
      <c r="I281" s="106">
        <f t="shared" si="47"/>
        <v>0.13274151030378301</v>
      </c>
      <c r="J281" s="106">
        <f t="shared" si="47"/>
        <v>0.14945509230156295</v>
      </c>
      <c r="K281" s="107">
        <f t="shared" si="47"/>
        <v>0.16610179097930189</v>
      </c>
      <c r="L281" s="83">
        <f t="shared" si="43"/>
        <v>0</v>
      </c>
      <c r="M281" s="83">
        <f t="shared" si="42"/>
        <v>0.71270331055694047</v>
      </c>
      <c r="N281" s="83">
        <f t="shared" si="44"/>
        <v>2.508219557489204E-34</v>
      </c>
    </row>
    <row r="282" spans="1:14">
      <c r="A282" s="81">
        <f t="shared" si="40"/>
        <v>5</v>
      </c>
      <c r="B282" s="81">
        <f t="shared" si="41"/>
        <v>1848</v>
      </c>
      <c r="C282" s="82">
        <f t="shared" si="45"/>
        <v>42.988347333773753</v>
      </c>
      <c r="D282" s="83">
        <f t="shared" si="46"/>
        <v>4.8324660960062937E-2</v>
      </c>
      <c r="E282" s="105">
        <f t="shared" si="47"/>
        <v>6.5224754767018611E-2</v>
      </c>
      <c r="F282" s="106">
        <f t="shared" si="47"/>
        <v>8.2095505130372448E-2</v>
      </c>
      <c r="G282" s="106">
        <f t="shared" si="47"/>
        <v>9.8929370535435712E-2</v>
      </c>
      <c r="H282" s="106">
        <f t="shared" si="47"/>
        <v>0.11571885917631453</v>
      </c>
      <c r="I282" s="106">
        <f t="shared" si="47"/>
        <v>0.13245653895582876</v>
      </c>
      <c r="J282" s="106">
        <f t="shared" si="47"/>
        <v>0.14913504735155159</v>
      </c>
      <c r="K282" s="107">
        <f t="shared" si="47"/>
        <v>0.16574710112615865</v>
      </c>
      <c r="L282" s="83">
        <f t="shared" si="43"/>
        <v>0</v>
      </c>
      <c r="M282" s="83">
        <f t="shared" si="42"/>
        <v>0.71165760929026689</v>
      </c>
      <c r="N282" s="83">
        <f t="shared" si="44"/>
        <v>1.7917434886232888E-34</v>
      </c>
    </row>
    <row r="283" spans="1:14">
      <c r="A283" s="81">
        <f t="shared" si="40"/>
        <v>5</v>
      </c>
      <c r="B283" s="81">
        <f t="shared" si="41"/>
        <v>1856</v>
      </c>
      <c r="C283" s="82">
        <f t="shared" si="45"/>
        <v>43.081295320465621</v>
      </c>
      <c r="D283" s="83">
        <f t="shared" si="46"/>
        <v>4.8220527566344096E-2</v>
      </c>
      <c r="E283" s="105">
        <f t="shared" si="47"/>
        <v>6.5084345089036377E-2</v>
      </c>
      <c r="F283" s="106">
        <f t="shared" si="47"/>
        <v>8.1919008249359937E-2</v>
      </c>
      <c r="G283" s="106">
        <f t="shared" si="47"/>
        <v>9.8717023818023719E-2</v>
      </c>
      <c r="H283" s="106">
        <f t="shared" si="47"/>
        <v>0.1154709477425655</v>
      </c>
      <c r="I283" s="106">
        <f t="shared" si="47"/>
        <v>0.13217339504128045</v>
      </c>
      <c r="J283" s="106">
        <f t="shared" si="47"/>
        <v>0.14881704956527386</v>
      </c>
      <c r="K283" s="107">
        <f t="shared" si="47"/>
        <v>0.16539467360713611</v>
      </c>
      <c r="L283" s="83">
        <f t="shared" si="43"/>
        <v>0</v>
      </c>
      <c r="M283" s="83">
        <f t="shared" si="42"/>
        <v>0.71061613805466584</v>
      </c>
      <c r="N283" s="83">
        <f t="shared" si="44"/>
        <v>1.2799297092785777E-34</v>
      </c>
    </row>
    <row r="284" spans="1:14">
      <c r="A284" s="81">
        <f t="shared" si="40"/>
        <v>5</v>
      </c>
      <c r="B284" s="81">
        <f t="shared" si="41"/>
        <v>1864</v>
      </c>
      <c r="C284" s="82">
        <f t="shared" si="45"/>
        <v>43.174043202938186</v>
      </c>
      <c r="D284" s="83">
        <f t="shared" si="46"/>
        <v>4.8117064465935444E-2</v>
      </c>
      <c r="E284" s="105">
        <f t="shared" si="47"/>
        <v>6.494483830462805E-2</v>
      </c>
      <c r="F284" s="106">
        <f t="shared" si="47"/>
        <v>8.1743644840229113E-2</v>
      </c>
      <c r="G284" s="106">
        <f t="shared" si="47"/>
        <v>9.8506038615806979E-2</v>
      </c>
      <c r="H284" s="106">
        <f t="shared" si="47"/>
        <v>0.1152246228272269</v>
      </c>
      <c r="I284" s="106">
        <f t="shared" si="47"/>
        <v>0.13189205911265978</v>
      </c>
      <c r="J284" s="106">
        <f t="shared" si="47"/>
        <v>0.14850107721217065</v>
      </c>
      <c r="K284" s="107">
        <f t="shared" si="47"/>
        <v>0.16504448447620823</v>
      </c>
      <c r="L284" s="83">
        <f t="shared" si="43"/>
        <v>0</v>
      </c>
      <c r="M284" s="83">
        <f t="shared" si="42"/>
        <v>0.70957887247943097</v>
      </c>
      <c r="N284" s="83">
        <f t="shared" si="44"/>
        <v>9.1431617923874434E-35</v>
      </c>
    </row>
    <row r="285" spans="1:14">
      <c r="A285" s="81">
        <f t="shared" si="40"/>
        <v>5</v>
      </c>
      <c r="B285" s="81">
        <f t="shared" si="41"/>
        <v>1872</v>
      </c>
      <c r="C285" s="82">
        <f t="shared" si="45"/>
        <v>43.266592268044093</v>
      </c>
      <c r="D285" s="83">
        <f t="shared" si="46"/>
        <v>4.8014264498575043E-2</v>
      </c>
      <c r="E285" s="105">
        <f t="shared" si="47"/>
        <v>6.4806224778465982E-2</v>
      </c>
      <c r="F285" s="106">
        <f t="shared" si="47"/>
        <v>8.1569402822728065E-2</v>
      </c>
      <c r="G285" s="106">
        <f t="shared" si="47"/>
        <v>9.8296400441348908E-2</v>
      </c>
      <c r="H285" s="106">
        <f t="shared" si="47"/>
        <v>0.11497986758086687</v>
      </c>
      <c r="I285" s="106">
        <f t="shared" si="47"/>
        <v>0.131612512010993</v>
      </c>
      <c r="J285" s="106">
        <f t="shared" si="47"/>
        <v>0.14818710888323716</v>
      </c>
      <c r="K285" s="107">
        <f t="shared" si="47"/>
        <v>0.16469651014066655</v>
      </c>
      <c r="L285" s="83">
        <f t="shared" si="43"/>
        <v>0</v>
      </c>
      <c r="M285" s="83">
        <f t="shared" si="42"/>
        <v>0.70854578832061077</v>
      </c>
      <c r="N285" s="83">
        <f t="shared" si="44"/>
        <v>6.5314061354893781E-35</v>
      </c>
    </row>
    <row r="286" spans="1:14">
      <c r="A286" s="81">
        <f t="shared" si="40"/>
        <v>5</v>
      </c>
      <c r="B286" s="81">
        <f t="shared" si="41"/>
        <v>1880</v>
      </c>
      <c r="C286" s="82">
        <f t="shared" si="45"/>
        <v>43.35894378890211</v>
      </c>
      <c r="D286" s="83">
        <f t="shared" si="46"/>
        <v>4.7912120610629216E-2</v>
      </c>
      <c r="E286" s="105">
        <f t="shared" si="47"/>
        <v>6.4668495018564309E-2</v>
      </c>
      <c r="F286" s="106">
        <f t="shared" si="47"/>
        <v>8.1396270296086204E-2</v>
      </c>
      <c r="G286" s="106">
        <f t="shared" si="47"/>
        <v>9.8088095022115906E-2</v>
      </c>
      <c r="H286" s="106">
        <f t="shared" si="47"/>
        <v>0.11473666540351557</v>
      </c>
      <c r="I286" s="106">
        <f t="shared" si="47"/>
        <v>0.13133473486033198</v>
      </c>
      <c r="J286" s="106">
        <f t="shared" si="47"/>
        <v>0.14787512348492982</v>
      </c>
      <c r="K286" s="107">
        <f t="shared" si="47"/>
        <v>0.16435072735444733</v>
      </c>
      <c r="L286" s="83">
        <f t="shared" si="43"/>
        <v>0</v>
      </c>
      <c r="M286" s="83">
        <f t="shared" si="42"/>
        <v>0.70751686146192094</v>
      </c>
      <c r="N286" s="83">
        <f t="shared" si="44"/>
        <v>4.6657017643750787E-35</v>
      </c>
    </row>
    <row r="287" spans="1:14">
      <c r="A287" s="81">
        <f t="shared" si="40"/>
        <v>5</v>
      </c>
      <c r="B287" s="81">
        <f t="shared" si="41"/>
        <v>1888</v>
      </c>
      <c r="C287" s="82">
        <f t="shared" si="45"/>
        <v>43.451099025101456</v>
      </c>
      <c r="D287" s="83">
        <f t="shared" si="46"/>
        <v>4.7810625853057953E-2</v>
      </c>
      <c r="E287" s="105">
        <f t="shared" si="47"/>
        <v>6.4531639673549801E-2</v>
      </c>
      <c r="F287" s="106">
        <f t="shared" si="47"/>
        <v>8.1224235535600764E-2</v>
      </c>
      <c r="G287" s="106">
        <f t="shared" si="47"/>
        <v>9.7881108296393959E-2</v>
      </c>
      <c r="H287" s="106">
        <f t="shared" si="47"/>
        <v>0.11449499993993673</v>
      </c>
      <c r="I287" s="106">
        <f t="shared" si="47"/>
        <v>0.13105870906240225</v>
      </c>
      <c r="J287" s="106">
        <f t="shared" si="47"/>
        <v>0.14756510023321634</v>
      </c>
      <c r="K287" s="107">
        <f t="shared" si="47"/>
        <v>0.16400711321161032</v>
      </c>
      <c r="L287" s="83">
        <f t="shared" si="43"/>
        <v>0</v>
      </c>
      <c r="M287" s="83">
        <f t="shared" si="42"/>
        <v>0.70649206791558017</v>
      </c>
      <c r="N287" s="83">
        <f t="shared" si="44"/>
        <v>3.3329381916412791E-35</v>
      </c>
    </row>
    <row r="288" spans="1:14">
      <c r="A288" s="81">
        <f t="shared" si="40"/>
        <v>5</v>
      </c>
      <c r="B288" s="81">
        <f t="shared" si="41"/>
        <v>1896</v>
      </c>
      <c r="C288" s="82">
        <f t="shared" si="45"/>
        <v>43.543059222902251</v>
      </c>
      <c r="D288" s="83">
        <f t="shared" si="46"/>
        <v>4.7709773379430942E-2</v>
      </c>
      <c r="E288" s="105">
        <f t="shared" si="47"/>
        <v>6.4395649529994214E-2</v>
      </c>
      <c r="F288" s="106">
        <f t="shared" si="47"/>
        <v>8.1053286989301254E-2</v>
      </c>
      <c r="G288" s="106">
        <f t="shared" si="47"/>
        <v>9.7675426409303157E-2</v>
      </c>
      <c r="H288" s="106">
        <f t="shared" si="47"/>
        <v>0.11425485507500732</v>
      </c>
      <c r="I288" s="106">
        <f t="shared" si="47"/>
        <v>0.13078441629137227</v>
      </c>
      <c r="J288" s="106">
        <f t="shared" si="47"/>
        <v>0.1472570186477602</v>
      </c>
      <c r="K288" s="107">
        <f t="shared" si="47"/>
        <v>0.16366564513996784</v>
      </c>
      <c r="L288" s="83">
        <f t="shared" si="43"/>
        <v>0</v>
      </c>
      <c r="M288" s="83">
        <f t="shared" si="42"/>
        <v>0.70547138382307306</v>
      </c>
      <c r="N288" s="83">
        <f t="shared" si="44"/>
        <v>2.3808802084435722E-35</v>
      </c>
    </row>
    <row r="289" spans="1:14">
      <c r="A289" s="81">
        <f t="shared" si="40"/>
        <v>5</v>
      </c>
      <c r="B289" s="81">
        <f t="shared" si="41"/>
        <v>1904</v>
      </c>
      <c r="C289" s="82">
        <f t="shared" si="45"/>
        <v>43.634825615432142</v>
      </c>
      <c r="D289" s="83">
        <f t="shared" si="46"/>
        <v>4.7609556443986456E-2</v>
      </c>
      <c r="E289" s="105">
        <f t="shared" si="47"/>
        <v>6.4260515509809268E-2</v>
      </c>
      <c r="F289" s="106">
        <f t="shared" si="47"/>
        <v>8.0883413274692062E-2</v>
      </c>
      <c r="G289" s="106">
        <f t="shared" si="47"/>
        <v>9.7471035708901477E-2</v>
      </c>
      <c r="H289" s="106">
        <f t="shared" si="47"/>
        <v>0.11401621492920544</v>
      </c>
      <c r="I289" s="106">
        <f t="shared" si="47"/>
        <v>0.13051183848874404</v>
      </c>
      <c r="J289" s="106">
        <f t="shared" si="47"/>
        <v>0.14695085854624024</v>
      </c>
      <c r="K289" s="107">
        <f t="shared" si="47"/>
        <v>0.16332630089485889</v>
      </c>
      <c r="L289" s="83">
        <f t="shared" si="43"/>
        <v>0</v>
      </c>
      <c r="M289" s="83">
        <f t="shared" si="42"/>
        <v>0.70445478545584428</v>
      </c>
      <c r="N289" s="83">
        <f t="shared" si="44"/>
        <v>1.7007787846695522E-35</v>
      </c>
    </row>
    <row r="290" spans="1:14">
      <c r="A290" s="81">
        <f t="shared" si="40"/>
        <v>5</v>
      </c>
      <c r="B290" s="81">
        <f t="shared" si="41"/>
        <v>1912</v>
      </c>
      <c r="C290" s="82">
        <f t="shared" si="45"/>
        <v>43.726399422879226</v>
      </c>
      <c r="D290" s="83">
        <f t="shared" si="46"/>
        <v>4.750996839973709E-2</v>
      </c>
      <c r="E290" s="105">
        <f t="shared" si="47"/>
        <v>6.412622866770068E-2</v>
      </c>
      <c r="F290" s="106">
        <f t="shared" si="47"/>
        <v>8.0714603175568334E-2</v>
      </c>
      <c r="G290" s="106">
        <f t="shared" si="47"/>
        <v>9.7267922742380053E-2</v>
      </c>
      <c r="H290" s="106">
        <f t="shared" si="47"/>
        <v>0.11377906385419956</v>
      </c>
      <c r="I290" s="106">
        <f t="shared" si="47"/>
        <v>0.1302409578583601</v>
      </c>
      <c r="J290" s="106">
        <f t="shared" si="47"/>
        <v>0.14664660003879804</v>
      </c>
      <c r="K290" s="107">
        <f t="shared" si="47"/>
        <v>0.16298905855306423</v>
      </c>
      <c r="L290" s="83">
        <f t="shared" si="43"/>
        <v>0</v>
      </c>
      <c r="M290" s="83">
        <f t="shared" si="42"/>
        <v>0.70344224921592513</v>
      </c>
      <c r="N290" s="83">
        <f t="shared" si="44"/>
        <v>1.2149491873314447E-35</v>
      </c>
    </row>
    <row r="291" spans="1:14">
      <c r="A291" s="81">
        <f t="shared" si="40"/>
        <v>5</v>
      </c>
      <c r="B291" s="81">
        <f t="shared" si="41"/>
        <v>1920</v>
      </c>
      <c r="C291" s="82">
        <f t="shared" si="45"/>
        <v>43.817781852681371</v>
      </c>
      <c r="D291" s="83">
        <f t="shared" si="46"/>
        <v>4.7411002696617466E-2</v>
      </c>
      <c r="E291" s="105">
        <f t="shared" si="47"/>
        <v>6.3992780188682374E-2</v>
      </c>
      <c r="F291" s="106">
        <f t="shared" si="47"/>
        <v>8.0546845638906239E-2</v>
      </c>
      <c r="G291" s="106">
        <f t="shared" si="47"/>
        <v>9.7066074252343038E-2</v>
      </c>
      <c r="H291" s="106">
        <f t="shared" si="47"/>
        <v>0.11354338642853889</v>
      </c>
      <c r="I291" s="106">
        <f t="shared" si="47"/>
        <v>0.12997175686152462</v>
      </c>
      <c r="J291" s="106">
        <f t="shared" si="47"/>
        <v>0.14634422352261156</v>
      </c>
      <c r="K291" s="107">
        <f t="shared" si="47"/>
        <v>0.1626538965068598</v>
      </c>
      <c r="L291" s="83">
        <f t="shared" si="43"/>
        <v>0</v>
      </c>
      <c r="M291" s="83">
        <f t="shared" si="42"/>
        <v>0.70243375163649624</v>
      </c>
      <c r="N291" s="83">
        <f t="shared" si="44"/>
        <v>8.6789742505173102E-36</v>
      </c>
    </row>
    <row r="292" spans="1:14">
      <c r="A292" s="81">
        <f t="shared" si="40"/>
        <v>5</v>
      </c>
      <c r="B292" s="81">
        <f t="shared" si="41"/>
        <v>1928</v>
      </c>
      <c r="C292" s="82">
        <f t="shared" si="45"/>
        <v>43.908974099711926</v>
      </c>
      <c r="D292" s="83">
        <f t="shared" si="46"/>
        <v>4.731265287967501E-2</v>
      </c>
      <c r="E292" s="105">
        <f t="shared" ref="E292:K322" si="48">IF($C292&gt;0,$C$9*(EXP(-$C$12*$B292/$C$14)-EXP(-$C$12*$A292/$C$16)*EXP(-$C$12*$C292^2/$C$14)*2*NORMSDIST(-($C$13*$A292/$C$16/$C$36+$C$38*E$50)/(2*$C292)*SQRT(2))),$C$9*EXP(-$C$12*$B292/$C$14))</f>
        <v>6.3860161385644876E-2</v>
      </c>
      <c r="F292" s="106">
        <f t="shared" si="48"/>
        <v>8.0380129771822739E-2</v>
      </c>
      <c r="G292" s="106">
        <f t="shared" si="48"/>
        <v>9.6865477173174064E-2</v>
      </c>
      <c r="H292" s="106">
        <f t="shared" si="48"/>
        <v>0.11330916745344188</v>
      </c>
      <c r="I292" s="106">
        <f t="shared" si="48"/>
        <v>0.12970421821223299</v>
      </c>
      <c r="J292" s="106">
        <f t="shared" si="48"/>
        <v>0.14604370967659208</v>
      </c>
      <c r="K292" s="107">
        <f t="shared" si="48"/>
        <v>0.16232079345820338</v>
      </c>
      <c r="L292" s="83">
        <f t="shared" si="43"/>
        <v>0</v>
      </c>
      <c r="M292" s="83">
        <f t="shared" si="42"/>
        <v>0.70142926938238515</v>
      </c>
      <c r="N292" s="83">
        <f t="shared" si="44"/>
        <v>6.1998143483341094E-36</v>
      </c>
    </row>
    <row r="293" spans="1:14">
      <c r="A293" s="81">
        <f t="shared" si="40"/>
        <v>5</v>
      </c>
      <c r="B293" s="81">
        <f t="shared" si="41"/>
        <v>1936</v>
      </c>
      <c r="C293" s="82">
        <f t="shared" si="45"/>
        <v>43.999977346462039</v>
      </c>
      <c r="D293" s="83">
        <f t="shared" si="46"/>
        <v>4.7214912587300706E-2</v>
      </c>
      <c r="E293" s="105">
        <f t="shared" si="48"/>
        <v>6.3728363696980539E-2</v>
      </c>
      <c r="F293" s="106">
        <f t="shared" si="48"/>
        <v>8.0214444838604848E-2</v>
      </c>
      <c r="G293" s="106">
        <f t="shared" si="48"/>
        <v>9.6666118627483533E-2</v>
      </c>
      <c r="H293" s="106">
        <f t="shared" si="48"/>
        <v>0.11307639194867947</v>
      </c>
      <c r="I293" s="106">
        <f t="shared" si="48"/>
        <v>0.1294383248725115</v>
      </c>
      <c r="J293" s="106">
        <f t="shared" si="48"/>
        <v>0.14574503945619899</v>
      </c>
      <c r="K293" s="107">
        <f t="shared" si="48"/>
        <v>0.16198972841305226</v>
      </c>
      <c r="L293" s="83">
        <f t="shared" si="43"/>
        <v>0</v>
      </c>
      <c r="M293" s="83">
        <f t="shared" si="42"/>
        <v>0.70042877925051261</v>
      </c>
      <c r="N293" s="83">
        <f t="shared" si="44"/>
        <v>4.4288295879571747E-36</v>
      </c>
    </row>
    <row r="294" spans="1:14">
      <c r="A294" s="81">
        <f t="shared" si="40"/>
        <v>5</v>
      </c>
      <c r="B294" s="81">
        <f t="shared" si="41"/>
        <v>1944</v>
      </c>
      <c r="C294" s="82">
        <f t="shared" si="45"/>
        <v>44.090792763219547</v>
      </c>
      <c r="D294" s="83">
        <f t="shared" si="46"/>
        <v>4.711777554950225E-2</v>
      </c>
      <c r="E294" s="105">
        <f t="shared" si="48"/>
        <v>6.3597378684261407E-2</v>
      </c>
      <c r="F294" s="106">
        <f t="shared" si="48"/>
        <v>8.0049780257806402E-2</v>
      </c>
      <c r="G294" s="106">
        <f t="shared" si="48"/>
        <v>9.6467985922636945E-2</v>
      </c>
      <c r="H294" s="106">
        <f t="shared" si="48"/>
        <v>0.11284504514855076</v>
      </c>
      <c r="I294" s="106">
        <f t="shared" si="48"/>
        <v>0.12917406004785947</v>
      </c>
      <c r="J294" s="106">
        <f t="shared" si="48"/>
        <v>0.14544819408837206</v>
      </c>
      <c r="K294" s="107">
        <f t="shared" si="48"/>
        <v>0.16166068067580652</v>
      </c>
      <c r="L294" s="83">
        <f t="shared" si="43"/>
        <v>0</v>
      </c>
      <c r="M294" s="83">
        <f t="shared" si="42"/>
        <v>0.69943225817027299</v>
      </c>
      <c r="N294" s="83">
        <f t="shared" si="44"/>
        <v>3.1637288501122722E-36</v>
      </c>
    </row>
    <row r="295" spans="1:14">
      <c r="A295" s="81">
        <f t="shared" si="40"/>
        <v>5</v>
      </c>
      <c r="B295" s="81">
        <f t="shared" si="41"/>
        <v>1952</v>
      </c>
      <c r="C295" s="82">
        <f t="shared" si="45"/>
        <v>44.181421508244533</v>
      </c>
      <c r="D295" s="83">
        <f t="shared" si="46"/>
        <v>4.7021235586213628E-2</v>
      </c>
      <c r="E295" s="105">
        <f t="shared" si="48"/>
        <v>6.3467198029971028E-2</v>
      </c>
      <c r="F295" s="106">
        <f t="shared" si="48"/>
        <v>7.9886125599408775E-2</v>
      </c>
      <c r="G295" s="106">
        <f t="shared" si="48"/>
        <v>9.6271066547360507E-2</v>
      </c>
      <c r="H295" s="106">
        <f t="shared" si="48"/>
        <v>0.11261511249794953</v>
      </c>
      <c r="I295" s="106">
        <f t="shared" si="48"/>
        <v>0.12891140718279503</v>
      </c>
      <c r="J295" s="106">
        <f t="shared" si="48"/>
        <v>0.14515315506657589</v>
      </c>
      <c r="K295" s="107">
        <f t="shared" si="48"/>
        <v>0.16133362984387767</v>
      </c>
      <c r="L295" s="83">
        <f t="shared" si="43"/>
        <v>0</v>
      </c>
      <c r="M295" s="83">
        <f t="shared" si="42"/>
        <v>0.69843968320386751</v>
      </c>
      <c r="N295" s="83">
        <f t="shared" si="44"/>
        <v>2.2600057279805289E-36</v>
      </c>
    </row>
    <row r="296" spans="1:14">
      <c r="A296" s="81">
        <f t="shared" si="40"/>
        <v>5</v>
      </c>
      <c r="B296" s="81">
        <f t="shared" si="41"/>
        <v>1960</v>
      </c>
      <c r="C296" s="82">
        <f t="shared" si="45"/>
        <v>44.271864727941754</v>
      </c>
      <c r="D296" s="83">
        <f t="shared" si="46"/>
        <v>4.6925286605643768E-2</v>
      </c>
      <c r="E296" s="105">
        <f t="shared" si="48"/>
        <v>6.3337813535285115E-2</v>
      </c>
      <c r="F296" s="106">
        <f t="shared" si="48"/>
        <v>7.9723470582046652E-2</v>
      </c>
      <c r="G296" s="106">
        <f t="shared" si="48"/>
        <v>9.6075348168422448E-2</v>
      </c>
      <c r="H296" s="106">
        <f t="shared" si="48"/>
        <v>0.11238657964851861</v>
      </c>
      <c r="I296" s="106">
        <f t="shared" si="48"/>
        <v>0.12865034995649882</v>
      </c>
      <c r="J296" s="106">
        <f t="shared" si="48"/>
        <v>0.14485990414595529</v>
      </c>
      <c r="K296" s="107">
        <f t="shared" si="48"/>
        <v>0.16100855580237683</v>
      </c>
      <c r="L296" s="83">
        <f t="shared" si="43"/>
        <v>0</v>
      </c>
      <c r="M296" s="83">
        <f t="shared" si="42"/>
        <v>0.6974510315465805</v>
      </c>
      <c r="N296" s="83">
        <f t="shared" si="44"/>
        <v>1.6144322514628729E-36</v>
      </c>
    </row>
    <row r="297" spans="1:14">
      <c r="A297" s="81">
        <f t="shared" si="40"/>
        <v>5</v>
      </c>
      <c r="B297" s="81">
        <f t="shared" si="41"/>
        <v>1968</v>
      </c>
      <c r="C297" s="82">
        <f t="shared" si="45"/>
        <v>44.36212355702974</v>
      </c>
      <c r="D297" s="83">
        <f t="shared" si="46"/>
        <v>4.6829922602661833E-2</v>
      </c>
      <c r="E297" s="105">
        <f t="shared" si="48"/>
        <v>6.3209217117902838E-2</v>
      </c>
      <c r="F297" s="106">
        <f t="shared" si="48"/>
        <v>7.9561805070295089E-2</v>
      </c>
      <c r="G297" s="106">
        <f t="shared" si="48"/>
        <v>9.5880818627390063E-2</v>
      </c>
      <c r="H297" s="106">
        <f t="shared" si="48"/>
        <v>0.11215943245488846</v>
      </c>
      <c r="I297" s="106">
        <f t="shared" si="48"/>
        <v>0.12839087227855517</v>
      </c>
      <c r="J297" s="106">
        <f t="shared" si="48"/>
        <v>0.14456842333859687</v>
      </c>
      <c r="K297" s="107">
        <f t="shared" si="48"/>
        <v>0.16068543871891938</v>
      </c>
      <c r="L297" s="83">
        <f t="shared" si="43"/>
        <v>0</v>
      </c>
      <c r="M297" s="83">
        <f t="shared" si="42"/>
        <v>0.69646628052700921</v>
      </c>
      <c r="N297" s="83">
        <f t="shared" si="44"/>
        <v>1.1532676498534515E-36</v>
      </c>
    </row>
    <row r="298" spans="1:14">
      <c r="A298" s="81">
        <f t="shared" si="40"/>
        <v>5</v>
      </c>
      <c r="B298" s="81">
        <f t="shared" si="41"/>
        <v>1976</v>
      </c>
      <c r="C298" s="82">
        <f t="shared" si="45"/>
        <v>44.452199118706972</v>
      </c>
      <c r="D298" s="83">
        <f t="shared" si="46"/>
        <v>4.6735137657218928E-2</v>
      </c>
      <c r="E298" s="105">
        <f t="shared" si="48"/>
        <v>6.3081400809927191E-2</v>
      </c>
      <c r="F298" s="106">
        <f t="shared" si="48"/>
        <v>7.9401119072016524E-2</v>
      </c>
      <c r="G298" s="106">
        <f t="shared" si="48"/>
        <v>9.5687465937455585E-2</v>
      </c>
      <c r="H298" s="106">
        <f t="shared" si="48"/>
        <v>0.11193365697100011</v>
      </c>
      <c r="I298" s="106">
        <f t="shared" si="48"/>
        <v>0.12813295828478677</v>
      </c>
      <c r="J298" s="106">
        <f t="shared" si="48"/>
        <v>0.14427869490889567</v>
      </c>
      <c r="K298" s="107">
        <f t="shared" si="48"/>
        <v>0.16036425903854523</v>
      </c>
      <c r="L298" s="83">
        <f t="shared" si="43"/>
        <v>0</v>
      </c>
      <c r="M298" s="83">
        <f t="shared" si="42"/>
        <v>0.69548540760724409</v>
      </c>
      <c r="N298" s="83">
        <f t="shared" si="44"/>
        <v>8.2383529627418921E-37</v>
      </c>
    </row>
    <row r="299" spans="1:14">
      <c r="A299" s="81">
        <f t="shared" si="40"/>
        <v>5</v>
      </c>
      <c r="B299" s="81">
        <f t="shared" si="41"/>
        <v>1984</v>
      </c>
      <c r="C299" s="82">
        <f t="shared" si="45"/>
        <v>44.542092524814919</v>
      </c>
      <c r="D299" s="83">
        <f t="shared" si="46"/>
        <v>4.6640925932804445E-2</v>
      </c>
      <c r="E299" s="105">
        <f t="shared" si="48"/>
        <v>6.2954356755789309E-2</v>
      </c>
      <c r="F299" s="106">
        <f t="shared" si="48"/>
        <v>7.9241402735767519E-2</v>
      </c>
      <c r="G299" s="106">
        <f t="shared" si="48"/>
        <v>9.5495278280335771E-2</v>
      </c>
      <c r="H299" s="106">
        <f t="shared" si="48"/>
        <v>0.11170923944651023</v>
      </c>
      <c r="I299" s="106">
        <f t="shared" si="48"/>
        <v>0.12787659233318194</v>
      </c>
      <c r="J299" s="106">
        <f t="shared" si="48"/>
        <v>0.14399070136902337</v>
      </c>
      <c r="K299" s="107">
        <f t="shared" si="48"/>
        <v>0.16004499747874879</v>
      </c>
      <c r="L299" s="83">
        <f t="shared" si="43"/>
        <v>0</v>
      </c>
      <c r="M299" s="83">
        <f t="shared" si="42"/>
        <v>0.69450839038300227</v>
      </c>
      <c r="N299" s="83">
        <f t="shared" si="44"/>
        <v>5.885057085173817E-37</v>
      </c>
    </row>
    <row r="300" spans="1:14">
      <c r="A300" s="81">
        <f t="shared" si="40"/>
        <v>5</v>
      </c>
      <c r="B300" s="81">
        <f t="shared" si="41"/>
        <v>1992</v>
      </c>
      <c r="C300" s="82">
        <f t="shared" si="45"/>
        <v>44.631804875998156</v>
      </c>
      <c r="D300" s="83">
        <f t="shared" si="46"/>
        <v>4.654728167493638E-2</v>
      </c>
      <c r="E300" s="105">
        <f t="shared" si="48"/>
        <v>6.2828077210222766E-2</v>
      </c>
      <c r="F300" s="106">
        <f t="shared" si="48"/>
        <v>7.9082646348260344E-2</v>
      </c>
      <c r="G300" s="106">
        <f t="shared" si="48"/>
        <v>9.5304244003235894E-2</v>
      </c>
      <c r="H300" s="106">
        <f t="shared" si="48"/>
        <v>0.1114861663232718</v>
      </c>
      <c r="I300" s="106">
        <f t="shared" si="48"/>
        <v>0.12762175899990935</v>
      </c>
      <c r="J300" s="106">
        <f t="shared" si="48"/>
        <v>0.14370442547449613</v>
      </c>
      <c r="K300" s="107">
        <f t="shared" si="48"/>
        <v>0.15972763502461884</v>
      </c>
      <c r="L300" s="83">
        <f t="shared" si="43"/>
        <v>0</v>
      </c>
      <c r="M300" s="83">
        <f t="shared" si="42"/>
        <v>0.69353520658372148</v>
      </c>
      <c r="N300" s="83">
        <f t="shared" si="44"/>
        <v>4.2039831325978029E-37</v>
      </c>
    </row>
    <row r="301" spans="1:14">
      <c r="A301" s="81">
        <f t="shared" si="40"/>
        <v>5</v>
      </c>
      <c r="B301" s="81">
        <f t="shared" si="41"/>
        <v>2000</v>
      </c>
      <c r="C301" s="82">
        <f t="shared" si="45"/>
        <v>44.721337261861621</v>
      </c>
      <c r="D301" s="83">
        <f t="shared" si="46"/>
        <v>4.6454199209684743E-2</v>
      </c>
      <c r="E301" s="105">
        <f t="shared" si="48"/>
        <v>6.2702554536279154E-2</v>
      </c>
      <c r="F301" s="106">
        <f t="shared" si="48"/>
        <v>7.892484033188385E-2</v>
      </c>
      <c r="G301" s="106">
        <f t="shared" si="48"/>
        <v>9.5114351615883885E-2</v>
      </c>
      <c r="H301" s="106">
        <f t="shared" si="48"/>
        <v>0.11126442423189586</v>
      </c>
      <c r="I301" s="106">
        <f t="shared" si="48"/>
        <v>0.12736844307542206</v>
      </c>
      <c r="J301" s="106">
        <f t="shared" si="48"/>
        <v>0.14341985021983761</v>
      </c>
      <c r="K301" s="107">
        <f t="shared" si="48"/>
        <v>0.15941215292408262</v>
      </c>
      <c r="L301" s="83">
        <f t="shared" si="43"/>
        <v>0</v>
      </c>
      <c r="M301" s="83">
        <f t="shared" si="42"/>
        <v>0.69256583407260486</v>
      </c>
      <c r="N301" s="83">
        <f t="shared" si="44"/>
        <v>3.0031100673078849E-37</v>
      </c>
    </row>
    <row r="302" spans="1:14">
      <c r="A302" s="81">
        <f t="shared" si="40"/>
        <v>5</v>
      </c>
      <c r="B302" s="81">
        <f t="shared" si="41"/>
        <v>2008</v>
      </c>
      <c r="C302" s="82">
        <f t="shared" si="45"/>
        <v>44.810690761124995</v>
      </c>
      <c r="D302" s="83">
        <f t="shared" si="46"/>
        <v>4.636167294222826E-2</v>
      </c>
      <c r="E302" s="105">
        <f t="shared" si="48"/>
        <v>6.2577781203388305E-2</v>
      </c>
      <c r="F302" s="106">
        <f t="shared" si="48"/>
        <v>7.876797524227519E-2</v>
      </c>
      <c r="G302" s="106">
        <f t="shared" si="48"/>
        <v>9.4925589787626885E-2</v>
      </c>
      <c r="H302" s="106">
        <f t="shared" si="48"/>
        <v>0.11104399998838521</v>
      </c>
      <c r="I302" s="106">
        <f t="shared" si="48"/>
        <v>0.12711662956064429</v>
      </c>
      <c r="J302" s="106">
        <f t="shared" si="48"/>
        <v>0.14313695883433675</v>
      </c>
      <c r="K302" s="107">
        <f t="shared" si="48"/>
        <v>0.15909853268325369</v>
      </c>
      <c r="L302" s="83">
        <f t="shared" si="43"/>
        <v>0</v>
      </c>
      <c r="M302" s="83">
        <f t="shared" si="42"/>
        <v>0.69160025084663257</v>
      </c>
      <c r="N302" s="83">
        <f t="shared" si="44"/>
        <v>2.1452679023459796E-37</v>
      </c>
    </row>
    <row r="303" spans="1:14">
      <c r="A303" s="81">
        <f t="shared" si="40"/>
        <v>5</v>
      </c>
      <c r="B303" s="81">
        <f t="shared" si="41"/>
        <v>2016</v>
      </c>
      <c r="C303" s="82">
        <f t="shared" si="45"/>
        <v>44.899866441774336</v>
      </c>
      <c r="D303" s="83">
        <f t="shared" si="46"/>
        <v>4.6269697355441286E-2</v>
      </c>
      <c r="E303" s="105">
        <f t="shared" si="48"/>
        <v>6.2453749785460477E-2</v>
      </c>
      <c r="F303" s="106">
        <f t="shared" si="48"/>
        <v>7.8612041765946383E-2</v>
      </c>
      <c r="G303" s="106">
        <f t="shared" si="48"/>
        <v>9.4737947344591733E-2</v>
      </c>
      <c r="H303" s="106">
        <f t="shared" si="48"/>
        <v>0.11082488059084228</v>
      </c>
      <c r="I303" s="106">
        <f t="shared" si="48"/>
        <v>0.12686630366324225</v>
      </c>
      <c r="J303" s="106">
        <f t="shared" si="48"/>
        <v>0.14285573477789892</v>
      </c>
      <c r="K303" s="107">
        <f t="shared" si="48"/>
        <v>0.15878675606187942</v>
      </c>
      <c r="L303" s="83">
        <f t="shared" si="43"/>
        <v>0</v>
      </c>
      <c r="M303" s="83">
        <f t="shared" si="42"/>
        <v>0.69063843503653333</v>
      </c>
      <c r="N303" s="83">
        <f t="shared" si="44"/>
        <v>1.5324694299205085E-37</v>
      </c>
    </row>
    <row r="304" spans="1:14">
      <c r="A304" s="81">
        <f t="shared" si="40"/>
        <v>5</v>
      </c>
      <c r="B304" s="81">
        <f t="shared" si="41"/>
        <v>2024</v>
      </c>
      <c r="C304" s="82">
        <f t="shared" si="45"/>
        <v>44.988865361211019</v>
      </c>
      <c r="D304" s="83">
        <f t="shared" si="46"/>
        <v>4.6178267008512464E-2</v>
      </c>
      <c r="E304" s="105">
        <f t="shared" si="48"/>
        <v>6.2330452959030724E-2</v>
      </c>
      <c r="F304" s="106">
        <f t="shared" si="48"/>
        <v>7.8457030717961285E-2</v>
      </c>
      <c r="G304" s="106">
        <f t="shared" si="48"/>
        <v>9.4551413266906748E-2</v>
      </c>
      <c r="H304" s="106">
        <f t="shared" si="48"/>
        <v>0.1106070532162482</v>
      </c>
      <c r="I304" s="106">
        <f t="shared" si="48"/>
        <v>0.12661745079397457</v>
      </c>
      <c r="J304" s="106">
        <f t="shared" si="48"/>
        <v>0.14257616173698251</v>
      </c>
      <c r="K304" s="107">
        <f t="shared" si="48"/>
        <v>0.15847680506888673</v>
      </c>
      <c r="L304" s="83">
        <f t="shared" si="43"/>
        <v>0</v>
      </c>
      <c r="M304" s="83">
        <f t="shared" si="42"/>
        <v>0.68968036490671314</v>
      </c>
      <c r="N304" s="83">
        <f t="shared" si="44"/>
        <v>1.0947176112935528E-37</v>
      </c>
    </row>
    <row r="305" spans="1:14">
      <c r="A305" s="81">
        <f t="shared" si="40"/>
        <v>5</v>
      </c>
      <c r="B305" s="81">
        <f t="shared" si="41"/>
        <v>2032</v>
      </c>
      <c r="C305" s="82">
        <f t="shared" si="45"/>
        <v>45.077688566398045</v>
      </c>
      <c r="D305" s="83">
        <f t="shared" si="46"/>
        <v>4.6087376535592695E-2</v>
      </c>
      <c r="E305" s="105">
        <f t="shared" si="48"/>
        <v>6.2207883501441907E-2</v>
      </c>
      <c r="F305" s="106">
        <f t="shared" si="48"/>
        <v>7.8302933039663625E-2</v>
      </c>
      <c r="G305" s="106">
        <f t="shared" si="48"/>
        <v>9.4365976685983233E-2</v>
      </c>
      <c r="H305" s="106">
        <f t="shared" si="48"/>
        <v>0.11039050521731131</v>
      </c>
      <c r="I305" s="106">
        <f t="shared" si="48"/>
        <v>0.1263700565631205</v>
      </c>
      <c r="J305" s="106">
        <f t="shared" si="48"/>
        <v>0.14229822362062672</v>
      </c>
      <c r="K305" s="107">
        <f t="shared" si="48"/>
        <v>0.1581686619580227</v>
      </c>
      <c r="L305" s="83">
        <f t="shared" si="43"/>
        <v>0</v>
      </c>
      <c r="M305" s="83">
        <f t="shared" si="42"/>
        <v>0.68872601885515783</v>
      </c>
      <c r="N305" s="83">
        <f t="shared" si="44"/>
        <v>7.8201014981318445E-38</v>
      </c>
    </row>
    <row r="306" spans="1:14">
      <c r="A306" s="81">
        <f t="shared" si="40"/>
        <v>5</v>
      </c>
      <c r="B306" s="81">
        <f t="shared" si="41"/>
        <v>2040</v>
      </c>
      <c r="C306" s="82">
        <f t="shared" si="45"/>
        <v>45.16633709400368</v>
      </c>
      <c r="D306" s="83">
        <f t="shared" si="46"/>
        <v>4.5997020644471975E-2</v>
      </c>
      <c r="E306" s="105">
        <f t="shared" si="48"/>
        <v>6.2086034289067893E-2</v>
      </c>
      <c r="F306" s="106">
        <f t="shared" si="48"/>
        <v>7.8149739796453677E-2</v>
      </c>
      <c r="G306" s="106">
        <f t="shared" si="48"/>
        <v>9.4181626881856939E-2</v>
      </c>
      <c r="H306" s="106">
        <f t="shared" si="48"/>
        <v>0.1101752241193823</v>
      </c>
      <c r="I306" s="106">
        <f t="shared" si="48"/>
        <v>0.12612410677698693</v>
      </c>
      <c r="J306" s="106">
        <f t="shared" si="48"/>
        <v>0.14202190455656183</v>
      </c>
      <c r="K306" s="107">
        <f t="shared" si="48"/>
        <v>0.15786230922358846</v>
      </c>
      <c r="L306" s="83">
        <f t="shared" si="43"/>
        <v>0</v>
      </c>
      <c r="M306" s="83">
        <f t="shared" si="42"/>
        <v>0.6877753754132967</v>
      </c>
      <c r="N306" s="83">
        <f t="shared" si="44"/>
        <v>5.5862796770777788E-38</v>
      </c>
    </row>
    <row r="307" spans="1:14">
      <c r="A307" s="81">
        <f t="shared" si="40"/>
        <v>5</v>
      </c>
      <c r="B307" s="81">
        <f t="shared" si="41"/>
        <v>2048</v>
      </c>
      <c r="C307" s="82">
        <f t="shared" si="45"/>
        <v>45.254811970542676</v>
      </c>
      <c r="D307" s="83">
        <f t="shared" si="46"/>
        <v>4.5907194115286432E-2</v>
      </c>
      <c r="E307" s="105">
        <f t="shared" si="48"/>
        <v>6.19648982955745E-2</v>
      </c>
      <c r="F307" s="106">
        <f t="shared" si="48"/>
        <v>7.7997442175612219E-2</v>
      </c>
      <c r="G307" s="106">
        <f t="shared" si="48"/>
        <v>9.3998353280583258E-2</v>
      </c>
      <c r="H307" s="106">
        <f t="shared" si="48"/>
        <v>0.1099611976174375</v>
      </c>
      <c r="I307" s="106">
        <f t="shared" si="48"/>
        <v>0.12587958743448757</v>
      </c>
      <c r="J307" s="106">
        <f t="shared" si="48"/>
        <v>0.14174718888740201</v>
      </c>
      <c r="K307" s="107">
        <f t="shared" si="48"/>
        <v>0.15755772959626224</v>
      </c>
      <c r="L307" s="83">
        <f t="shared" si="43"/>
        <v>0</v>
      </c>
      <c r="M307" s="83">
        <f t="shared" si="42"/>
        <v>0.68682841324583332</v>
      </c>
      <c r="N307" s="83">
        <f t="shared" si="44"/>
        <v>3.9905518666206092E-38</v>
      </c>
    </row>
    <row r="308" spans="1:14">
      <c r="A308" s="81">
        <f t="shared" ref="A308:A322" si="49">IF(ISBLANK($C$44),A307+$C$42,$C$44)</f>
        <v>5</v>
      </c>
      <c r="B308" s="81">
        <f t="shared" ref="B308:B322" si="50">IF(ISBLANK($C$43),B307+$C$41,$C$43)</f>
        <v>2056</v>
      </c>
      <c r="C308" s="82">
        <f t="shared" si="45"/>
        <v>45.343114212514926</v>
      </c>
      <c r="D308" s="83">
        <f t="shared" si="46"/>
        <v>4.5817891799249999E-2</v>
      </c>
      <c r="E308" s="105">
        <f t="shared" si="48"/>
        <v>6.1844468590217749E-2</v>
      </c>
      <c r="F308" s="106">
        <f t="shared" si="48"/>
        <v>7.7846031484170464E-2</v>
      </c>
      <c r="G308" s="106">
        <f t="shared" si="48"/>
        <v>9.3816145451691924E-2</v>
      </c>
      <c r="H308" s="106">
        <f t="shared" si="48"/>
        <v>0.10974841357312326</v>
      </c>
      <c r="I308" s="106">
        <f t="shared" si="48"/>
        <v>0.12563648472379541</v>
      </c>
      <c r="J308" s="106">
        <f t="shared" si="48"/>
        <v>0.14147406116692052</v>
      </c>
      <c r="K308" s="107">
        <f t="shared" si="48"/>
        <v>0.15725490603901338</v>
      </c>
      <c r="L308" s="83">
        <f t="shared" si="43"/>
        <v>0</v>
      </c>
      <c r="M308" s="83">
        <f t="shared" ref="M308:M322" si="51">$C$9*EXP(-$C$12*$B308/$C$14)*(1-0.5*2*NORMSDIST(-($C$14*$A308)/(2*SQRT(($C$11)*$C$14*$B308))*SQRT(2))-0.5*2*NORMSDIST(-($C$14*$A308)/(2*SQRT(($C$11)*$C$14*$B308))*SQRT(2)))</f>
        <v>0.6858851111505504</v>
      </c>
      <c r="N308" s="83">
        <f t="shared" si="44"/>
        <v>2.8506457106922801E-38</v>
      </c>
    </row>
    <row r="309" spans="1:14">
      <c r="A309" s="81">
        <f t="shared" si="49"/>
        <v>5</v>
      </c>
      <c r="B309" s="81">
        <f t="shared" si="50"/>
        <v>2064</v>
      </c>
      <c r="C309" s="82">
        <f t="shared" si="45"/>
        <v>45.431244826541707</v>
      </c>
      <c r="D309" s="83">
        <f t="shared" si="46"/>
        <v>4.5729108617416303E-2</v>
      </c>
      <c r="E309" s="105">
        <f t="shared" si="48"/>
        <v>6.1724738336178753E-2</v>
      </c>
      <c r="F309" s="106">
        <f t="shared" si="48"/>
        <v>7.7695499146827496E-2</v>
      </c>
      <c r="G309" s="106">
        <f t="shared" si="48"/>
        <v>9.3634993105691899E-2</v>
      </c>
      <c r="H309" s="106">
        <f t="shared" si="48"/>
        <v>0.10953686001186536</v>
      </c>
      <c r="I309" s="106">
        <f t="shared" si="48"/>
        <v>0.12539478501906687</v>
      </c>
      <c r="J309" s="106">
        <f t="shared" si="48"/>
        <v>0.1412025061564024</v>
      </c>
      <c r="K309" s="107">
        <f t="shared" si="48"/>
        <v>0.15695382174309902</v>
      </c>
      <c r="L309" s="83">
        <f t="shared" ref="L309:L322" si="52">$C$9*EXP(-$C$12*$B309/$C$14)*(1-0.5*2*NORMSDIST(-($C$14*$A309-$C$17*$B309)/(2*SQRT(($C$18*$C$17+$C$11)*$C$14*$B309))*SQRT(2))-0.5*EXP($C$17*$A309/(($C$18*$C$17+$C$11)))*2*NORMSDIST(-($C$14*$A309+$C$17*$B309)/(2*SQRT(($C$18*$C$17+$C$11)*$C$14*$B309))*SQRT(2)))</f>
        <v>0</v>
      </c>
      <c r="M309" s="83">
        <f t="shared" si="51"/>
        <v>0.68494544805807855</v>
      </c>
      <c r="N309" s="83">
        <f t="shared" ref="N309:N322" si="53">$C$9*EXP(-($C$25/1000/($C$10*$A309)+$C$12)/$C$14*$B309)</f>
        <v>2.0363551808110744E-38</v>
      </c>
    </row>
    <row r="310" spans="1:14">
      <c r="A310" s="81">
        <f t="shared" si="49"/>
        <v>5</v>
      </c>
      <c r="B310" s="81">
        <f t="shared" si="50"/>
        <v>2072</v>
      </c>
      <c r="C310" s="82">
        <f t="shared" si="45"/>
        <v>45.519204809499612</v>
      </c>
      <c r="D310" s="83">
        <f t="shared" si="46"/>
        <v>4.5640839559464741E-2</v>
      </c>
      <c r="E310" s="105">
        <f t="shared" si="48"/>
        <v>6.1605700788932127E-2</v>
      </c>
      <c r="F310" s="106">
        <f t="shared" si="48"/>
        <v>7.7545836703909021E-2</v>
      </c>
      <c r="G310" s="106">
        <f t="shared" si="48"/>
        <v>9.3454886091632661E-2</v>
      </c>
      <c r="H310" s="106">
        <f t="shared" si="48"/>
        <v>0.10932652512003926</v>
      </c>
      <c r="I310" s="106">
        <f t="shared" si="48"/>
        <v>0.1251544748772333</v>
      </c>
      <c r="J310" s="106">
        <f t="shared" si="48"/>
        <v>0.14093250882107311</v>
      </c>
      <c r="K310" s="107">
        <f t="shared" si="48"/>
        <v>0.15665446012414774</v>
      </c>
      <c r="L310" s="83">
        <f t="shared" si="52"/>
        <v>0</v>
      </c>
      <c r="M310" s="83">
        <f t="shared" si="51"/>
        <v>0.68400940303164459</v>
      </c>
      <c r="N310" s="83">
        <f t="shared" si="53"/>
        <v>1.4546677641709199E-38</v>
      </c>
    </row>
    <row r="311" spans="1:14">
      <c r="A311" s="81">
        <f t="shared" si="49"/>
        <v>5</v>
      </c>
      <c r="B311" s="81">
        <f t="shared" si="50"/>
        <v>2080</v>
      </c>
      <c r="C311" s="82">
        <f t="shared" si="45"/>
        <v>45.606995148652061</v>
      </c>
      <c r="D311" s="83">
        <f t="shared" si="46"/>
        <v>4.5553079682512543E-2</v>
      </c>
      <c r="E311" s="105">
        <f t="shared" si="48"/>
        <v>6.1487349294652383E-2</v>
      </c>
      <c r="F311" s="106">
        <f t="shared" si="48"/>
        <v>7.7397035809371406E-2</v>
      </c>
      <c r="G311" s="106">
        <f t="shared" si="48"/>
        <v>9.3275814394713219E-2</v>
      </c>
      <c r="H311" s="106">
        <f t="shared" si="48"/>
        <v>0.10911739724219838</v>
      </c>
      <c r="I311" s="106">
        <f t="shared" si="48"/>
        <v>0.12491554103486235</v>
      </c>
      <c r="J311" s="106">
        <f t="shared" si="48"/>
        <v>0.14066405432660423</v>
      </c>
      <c r="K311" s="107">
        <f t="shared" si="48"/>
        <v>0.15635680481832259</v>
      </c>
      <c r="L311" s="83">
        <f t="shared" si="52"/>
        <v>0</v>
      </c>
      <c r="M311" s="83">
        <f t="shared" si="51"/>
        <v>0.68307695526678724</v>
      </c>
      <c r="N311" s="83">
        <f t="shared" si="53"/>
        <v>1.0391400891445681E-38</v>
      </c>
    </row>
    <row r="312" spans="1:14">
      <c r="A312" s="81">
        <f t="shared" si="49"/>
        <v>5</v>
      </c>
      <c r="B312" s="81">
        <f t="shared" si="50"/>
        <v>2088</v>
      </c>
      <c r="C312" s="82">
        <f t="shared" si="45"/>
        <v>45.69461682177861</v>
      </c>
      <c r="D312" s="83">
        <f t="shared" si="46"/>
        <v>4.5465824109953035E-2</v>
      </c>
      <c r="E312" s="105">
        <f t="shared" si="48"/>
        <v>6.1369677288649171E-2</v>
      </c>
      <c r="F312" s="106">
        <f t="shared" si="48"/>
        <v>7.7249088228846574E-2</v>
      </c>
      <c r="G312" s="106">
        <f t="shared" si="48"/>
        <v>9.309776813394488E-2</v>
      </c>
      <c r="H312" s="106">
        <f t="shared" si="48"/>
        <v>0.10890946487836262</v>
      </c>
      <c r="I312" s="106">
        <f t="shared" si="48"/>
        <v>0.12467797040508199</v>
      </c>
      <c r="J312" s="106">
        <f t="shared" si="48"/>
        <v>0.14039712803568971</v>
      </c>
      <c r="K312" s="107">
        <f t="shared" si="48"/>
        <v>0.15606083967856654</v>
      </c>
      <c r="L312" s="83">
        <f t="shared" si="52"/>
        <v>0</v>
      </c>
      <c r="M312" s="83">
        <f t="shared" si="51"/>
        <v>0.6821480840910481</v>
      </c>
      <c r="N312" s="83">
        <f t="shared" si="53"/>
        <v>7.4230841671451952E-39</v>
      </c>
    </row>
    <row r="313" spans="1:14">
      <c r="A313" s="81">
        <f t="shared" si="49"/>
        <v>5</v>
      </c>
      <c r="B313" s="81">
        <f t="shared" si="50"/>
        <v>2096</v>
      </c>
      <c r="C313" s="82">
        <f t="shared" si="45"/>
        <v>45.782070797302005</v>
      </c>
      <c r="D313" s="83">
        <f t="shared" si="46"/>
        <v>4.5379068030316549E-2</v>
      </c>
      <c r="E313" s="105">
        <f t="shared" si="48"/>
        <v>6.1252678293840734E-2</v>
      </c>
      <c r="F313" s="106">
        <f t="shared" si="48"/>
        <v>7.710198583772776E-2</v>
      </c>
      <c r="G313" s="106">
        <f t="shared" si="48"/>
        <v>9.2920737559860633E-2</v>
      </c>
      <c r="H313" s="106">
        <f t="shared" si="48"/>
        <v>0.10870271668136078</v>
      </c>
      <c r="I313" s="106">
        <f t="shared" si="48"/>
        <v>0.12444175007457159</v>
      </c>
      <c r="J313" s="106">
        <f t="shared" si="48"/>
        <v>0.14013171550469483</v>
      </c>
      <c r="K313" s="107">
        <f t="shared" si="48"/>
        <v>0.15576654877092277</v>
      </c>
      <c r="L313" s="83">
        <f t="shared" si="52"/>
        <v>0</v>
      </c>
      <c r="M313" s="83">
        <f t="shared" si="51"/>
        <v>0.68122276896364276</v>
      </c>
      <c r="N313" s="83">
        <f t="shared" si="53"/>
        <v>5.3026708456492326E-39</v>
      </c>
    </row>
    <row r="314" spans="1:14">
      <c r="A314" s="81">
        <f t="shared" si="49"/>
        <v>5</v>
      </c>
      <c r="B314" s="81">
        <f t="shared" si="50"/>
        <v>2104</v>
      </c>
      <c r="C314" s="82">
        <f t="shared" si="45"/>
        <v>45.869358034413047</v>
      </c>
      <c r="D314" s="83">
        <f t="shared" si="46"/>
        <v>4.5292806696157095E-2</v>
      </c>
      <c r="E314" s="105">
        <f t="shared" si="48"/>
        <v>6.1136345919253543E-2</v>
      </c>
      <c r="F314" s="106">
        <f t="shared" si="48"/>
        <v>7.6955720619295676E-2</v>
      </c>
      <c r="G314" s="106">
        <f t="shared" si="48"/>
        <v>9.2744713052272498E-2</v>
      </c>
      <c r="H314" s="106">
        <f t="shared" si="48"/>
        <v>0.10849714145423173</v>
      </c>
      <c r="I314" s="106">
        <f t="shared" si="48"/>
        <v>0.12420686730061292</v>
      </c>
      <c r="J314" s="106">
        <f t="shared" si="48"/>
        <v>0.13986780248037389</v>
      </c>
      <c r="K314" s="107">
        <f t="shared" si="48"/>
        <v>0.155473916370934</v>
      </c>
      <c r="L314" s="83">
        <f t="shared" si="52"/>
        <v>0</v>
      </c>
      <c r="M314" s="83">
        <f t="shared" si="51"/>
        <v>0.68030098947510353</v>
      </c>
      <c r="N314" s="83">
        <f t="shared" si="53"/>
        <v>3.787956254322282E-39</v>
      </c>
    </row>
    <row r="315" spans="1:14">
      <c r="A315" s="81">
        <f t="shared" si="49"/>
        <v>5</v>
      </c>
      <c r="B315" s="81">
        <f t="shared" si="50"/>
        <v>2112</v>
      </c>
      <c r="C315" s="82">
        <f t="shared" si="45"/>
        <v>45.95647948319337</v>
      </c>
      <c r="D315" s="83">
        <f t="shared" si="46"/>
        <v>4.5207035422960118E-2</v>
      </c>
      <c r="E315" s="105">
        <f t="shared" si="48"/>
        <v>6.1020673858558361E-2</v>
      </c>
      <c r="F315" s="106">
        <f t="shared" si="48"/>
        <v>7.6810284662883976E-2</v>
      </c>
      <c r="G315" s="106">
        <f t="shared" si="48"/>
        <v>9.2569685118076617E-2</v>
      </c>
      <c r="H315" s="106">
        <f t="shared" si="48"/>
        <v>0.10829272814767599</v>
      </c>
      <c r="I315" s="106">
        <f t="shared" si="48"/>
        <v>0.12397330950820384</v>
      </c>
      <c r="J315" s="106">
        <f t="shared" si="48"/>
        <v>0.13960537489665614</v>
      </c>
      <c r="K315" s="107">
        <f t="shared" si="48"/>
        <v>0.15518292696011349</v>
      </c>
      <c r="L315" s="83">
        <f t="shared" si="52"/>
        <v>0</v>
      </c>
      <c r="M315" s="83">
        <f t="shared" si="51"/>
        <v>0.67938272534690203</v>
      </c>
      <c r="N315" s="83">
        <f t="shared" si="53"/>
        <v>2.705921789664151E-39</v>
      </c>
    </row>
    <row r="316" spans="1:14">
      <c r="A316" s="81">
        <f t="shared" si="49"/>
        <v>5</v>
      </c>
      <c r="B316" s="81">
        <f t="shared" si="50"/>
        <v>2120</v>
      </c>
      <c r="C316" s="82">
        <f t="shared" si="45"/>
        <v>46.043436084736037</v>
      </c>
      <c r="D316" s="83">
        <f t="shared" si="46"/>
        <v>4.5121749588074467E-2</v>
      </c>
      <c r="E316" s="105">
        <f t="shared" si="48"/>
        <v>6.0905655888632726E-2</v>
      </c>
      <c r="F316" s="106">
        <f t="shared" si="48"/>
        <v>7.6665670162081812E-2</v>
      </c>
      <c r="G316" s="106">
        <f t="shared" si="48"/>
        <v>9.2395644389102083E-2</v>
      </c>
      <c r="H316" s="106">
        <f t="shared" si="48"/>
        <v>0.10808946585756218</v>
      </c>
      <c r="I316" s="106">
        <f t="shared" si="48"/>
        <v>0.12374106428723075</v>
      </c>
      <c r="J316" s="106">
        <f t="shared" si="48"/>
        <v>0.13934441887149696</v>
      </c>
      <c r="K316" s="107">
        <f t="shared" si="48"/>
        <v>0.15489356522248965</v>
      </c>
      <c r="L316" s="83">
        <f t="shared" si="52"/>
        <v>0</v>
      </c>
      <c r="M316" s="83">
        <f t="shared" si="51"/>
        <v>0.67846795643105162</v>
      </c>
      <c r="N316" s="83">
        <f t="shared" si="53"/>
        <v>1.9329718297101493E-39</v>
      </c>
    </row>
    <row r="317" spans="1:14">
      <c r="A317" s="81">
        <f t="shared" si="49"/>
        <v>5</v>
      </c>
      <c r="B317" s="81">
        <f t="shared" si="50"/>
        <v>2128</v>
      </c>
      <c r="C317" s="82">
        <f t="shared" si="45"/>
        <v>46.130228771264214</v>
      </c>
      <c r="D317" s="83">
        <f t="shared" si="46"/>
        <v>4.5036944629666342E-2</v>
      </c>
      <c r="E317" s="105">
        <f t="shared" si="48"/>
        <v>6.0791285868156297E-2</v>
      </c>
      <c r="F317" s="106">
        <f t="shared" si="48"/>
        <v>7.6521869412973897E-2</v>
      </c>
      <c r="G317" s="106">
        <f t="shared" si="48"/>
        <v>9.2222581620005517E-2</v>
      </c>
      <c r="H317" s="106">
        <f t="shared" si="48"/>
        <v>0.10788734382248411</v>
      </c>
      <c r="I317" s="106">
        <f t="shared" si="48"/>
        <v>0.12351011938969902</v>
      </c>
      <c r="J317" s="106">
        <f t="shared" si="48"/>
        <v>0.13908492070379408</v>
      </c>
      <c r="K317" s="107">
        <f t="shared" si="48"/>
        <v>0.15460581604122137</v>
      </c>
      <c r="L317" s="83">
        <f t="shared" si="52"/>
        <v>0</v>
      </c>
      <c r="M317" s="83">
        <f t="shared" si="51"/>
        <v>0.67755666270968984</v>
      </c>
      <c r="N317" s="83">
        <f t="shared" si="53"/>
        <v>1.3808159972416455E-39</v>
      </c>
    </row>
    <row r="318" spans="1:14">
      <c r="A318" s="81">
        <f t="shared" si="49"/>
        <v>5</v>
      </c>
      <c r="B318" s="81">
        <f t="shared" si="50"/>
        <v>2136</v>
      </c>
      <c r="C318" s="82">
        <f t="shared" si="45"/>
        <v>46.216858466247714</v>
      </c>
      <c r="D318" s="83">
        <f t="shared" si="46"/>
        <v>4.495261604569345E-2</v>
      </c>
      <c r="E318" s="105">
        <f t="shared" si="48"/>
        <v>6.0677557736231513E-2</v>
      </c>
      <c r="F318" s="106">
        <f t="shared" si="48"/>
        <v>7.6378874812417008E-2</v>
      </c>
      <c r="G318" s="106">
        <f t="shared" si="48"/>
        <v>9.2050487686207827E-2</v>
      </c>
      <c r="H318" s="106">
        <f t="shared" si="48"/>
        <v>0.10768635142136751</v>
      </c>
      <c r="I318" s="106">
        <f t="shared" si="48"/>
        <v>0.12328046272702098</v>
      </c>
      <c r="J318" s="106">
        <f t="shared" si="48"/>
        <v>0.13882686687036694</v>
      </c>
      <c r="K318" s="107">
        <f t="shared" si="48"/>
        <v>0.15431966449528178</v>
      </c>
      <c r="L318" s="83">
        <f t="shared" si="52"/>
        <v>0</v>
      </c>
      <c r="M318" s="83">
        <f t="shared" si="51"/>
        <v>0.67664882429463935</v>
      </c>
      <c r="N318" s="83">
        <f t="shared" si="53"/>
        <v>9.8638417225372443E-40</v>
      </c>
    </row>
    <row r="319" spans="1:14">
      <c r="A319" s="81">
        <f t="shared" si="49"/>
        <v>5</v>
      </c>
      <c r="B319" s="81">
        <f t="shared" si="50"/>
        <v>2144</v>
      </c>
      <c r="C319" s="82">
        <f t="shared" si="45"/>
        <v>46.30332608451765</v>
      </c>
      <c r="D319" s="83">
        <f t="shared" si="46"/>
        <v>4.4868759392902025E-2</v>
      </c>
      <c r="E319" s="105">
        <f t="shared" si="48"/>
        <v>6.0564465511036669E-2</v>
      </c>
      <c r="F319" s="106">
        <f t="shared" si="48"/>
        <v>7.6236678856350881E-2</v>
      </c>
      <c r="G319" s="106">
        <f t="shared" si="48"/>
        <v>9.1879353581874712E-2</v>
      </c>
      <c r="H319" s="106">
        <f t="shared" si="48"/>
        <v>0.10748647817112666</v>
      </c>
      <c r="I319" s="106">
        <f t="shared" si="48"/>
        <v>0.12305208236735732</v>
      </c>
      <c r="J319" s="106">
        <f t="shared" si="48"/>
        <v>0.13857024402299722</v>
      </c>
      <c r="K319" s="107">
        <f t="shared" si="48"/>
        <v>0.15403509585620845</v>
      </c>
      <c r="L319" s="83">
        <f t="shared" si="52"/>
        <v>0</v>
      </c>
      <c r="M319" s="83">
        <f t="shared" si="51"/>
        <v>0.67574442142695323</v>
      </c>
      <c r="N319" s="83">
        <f t="shared" si="53"/>
        <v>7.046222937859042E-40</v>
      </c>
    </row>
    <row r="320" spans="1:14">
      <c r="A320" s="81">
        <f t="shared" si="49"/>
        <v>5</v>
      </c>
      <c r="B320" s="81">
        <f t="shared" si="50"/>
        <v>2152</v>
      </c>
      <c r="C320" s="82">
        <f t="shared" si="45"/>
        <v>46.389632532379181</v>
      </c>
      <c r="D320" s="83">
        <f t="shared" si="46"/>
        <v>4.4785370285843396E-2</v>
      </c>
      <c r="E320" s="105">
        <f t="shared" si="48"/>
        <v>6.0452003288502754E-2</v>
      </c>
      <c r="F320" s="106">
        <f t="shared" si="48"/>
        <v>7.6095274138145097E-2</v>
      </c>
      <c r="G320" s="106">
        <f t="shared" si="48"/>
        <v>9.1709170417935582E-2</v>
      </c>
      <c r="H320" s="106">
        <f t="shared" si="48"/>
        <v>0.10728771372436641</v>
      </c>
      <c r="I320" s="106">
        <f t="shared" si="48"/>
        <v>0.12282496653301456</v>
      </c>
      <c r="J320" s="106">
        <f t="shared" si="48"/>
        <v>0.13831503898552877</v>
      </c>
      <c r="K320" s="107">
        <f t="shared" si="48"/>
        <v>0.15375209558492164</v>
      </c>
      <c r="L320" s="83">
        <f t="shared" si="52"/>
        <v>0</v>
      </c>
      <c r="M320" s="83">
        <f t="shared" si="51"/>
        <v>0.67484343447644379</v>
      </c>
      <c r="N320" s="83">
        <f t="shared" si="53"/>
        <v>5.0334605001386604E-40</v>
      </c>
    </row>
    <row r="321" spans="1:14">
      <c r="A321" s="81">
        <f t="shared" si="49"/>
        <v>5</v>
      </c>
      <c r="B321" s="81">
        <f t="shared" si="50"/>
        <v>2160</v>
      </c>
      <c r="C321" s="82">
        <f t="shared" si="45"/>
        <v>46.475778707722291</v>
      </c>
      <c r="D321" s="83">
        <f t="shared" si="46"/>
        <v>4.470244439591009E-2</v>
      </c>
      <c r="E321" s="105">
        <f t="shared" si="48"/>
        <v>6.0340165241019816E-2</v>
      </c>
      <c r="F321" s="106">
        <f t="shared" si="48"/>
        <v>7.5954653346978152E-2</v>
      </c>
      <c r="G321" s="106">
        <f t="shared" si="48"/>
        <v>9.1539929420145549E-2</v>
      </c>
      <c r="H321" s="106">
        <f t="shared" si="48"/>
        <v>0.10709004786713483</v>
      </c>
      <c r="I321" s="106">
        <f t="shared" si="48"/>
        <v>0.12259910359789328</v>
      </c>
      <c r="J321" s="106">
        <f t="shared" si="48"/>
        <v>0.13806123875102738</v>
      </c>
      <c r="K321" s="107">
        <f t="shared" si="48"/>
        <v>0.15347064932860377</v>
      </c>
      <c r="L321" s="83">
        <f t="shared" si="52"/>
        <v>0</v>
      </c>
      <c r="M321" s="83">
        <f t="shared" si="51"/>
        <v>0.67394584394119139</v>
      </c>
      <c r="N321" s="83">
        <f t="shared" si="53"/>
        <v>3.5956461823437428E-40</v>
      </c>
    </row>
    <row r="322" spans="1:14">
      <c r="A322" s="81">
        <f t="shared" si="49"/>
        <v>5</v>
      </c>
      <c r="B322" s="81">
        <f t="shared" si="50"/>
        <v>2168</v>
      </c>
      <c r="C322" s="82">
        <f t="shared" si="45"/>
        <v>46.561765500130825</v>
      </c>
      <c r="D322" s="83">
        <f t="shared" si="46"/>
        <v>4.4619977450392589E-2</v>
      </c>
      <c r="E322" s="105">
        <f t="shared" si="48"/>
        <v>6.0228945616167984E-2</v>
      </c>
      <c r="F322" s="106">
        <f t="shared" si="48"/>
        <v>7.5814809266250061E-2</v>
      </c>
      <c r="G322" s="106">
        <f t="shared" si="48"/>
        <v>9.1371621927184954E-2</v>
      </c>
      <c r="H322" s="106">
        <f t="shared" si="48"/>
        <v>0.10689347051671616</v>
      </c>
      <c r="I322" s="106">
        <f t="shared" si="48"/>
        <v>0.12237448208498969</v>
      </c>
      <c r="J322" s="106">
        <f t="shared" si="48"/>
        <v>0.13780883047899595</v>
      </c>
      <c r="K322" s="107">
        <f t="shared" si="48"/>
        <v>0.15319074291764356</v>
      </c>
      <c r="L322" s="83">
        <f t="shared" si="52"/>
        <v>0</v>
      </c>
      <c r="M322" s="83">
        <f t="shared" si="51"/>
        <v>0.67305163044704241</v>
      </c>
      <c r="N322" s="83">
        <f t="shared" si="53"/>
        <v>2.5685453314369227E-40</v>
      </c>
    </row>
  </sheetData>
  <sheetProtection password="DF7D" sheet="1" objects="1" scenarios="1"/>
  <mergeCells count="13">
    <mergeCell ref="A46:A47"/>
    <mergeCell ref="B46:B47"/>
    <mergeCell ref="C46:C47"/>
    <mergeCell ref="P5:Z5"/>
    <mergeCell ref="P7:U7"/>
    <mergeCell ref="V7:Z7"/>
    <mergeCell ref="E49:K49"/>
    <mergeCell ref="K7:N7"/>
    <mergeCell ref="E7:J7"/>
    <mergeCell ref="D48:K48"/>
    <mergeCell ref="E5:N5"/>
    <mergeCell ref="D30:D31"/>
    <mergeCell ref="D32:D33"/>
  </mergeCells>
  <phoneticPr fontId="7" type="noConversion"/>
  <conditionalFormatting sqref="C4">
    <cfRule type="expression" dxfId="42" priority="71">
      <formula>$C$3="no"</formula>
    </cfRule>
  </conditionalFormatting>
  <conditionalFormatting sqref="C22:C26 C15:C16">
    <cfRule type="expression" dxfId="41" priority="53">
      <formula>$C$3="yes"</formula>
    </cfRule>
  </conditionalFormatting>
  <conditionalFormatting sqref="C17 C24:C26">
    <cfRule type="expression" dxfId="40" priority="40">
      <formula>$C$4="yes"</formula>
    </cfRule>
  </conditionalFormatting>
  <conditionalFormatting sqref="C18">
    <cfRule type="expression" dxfId="39" priority="39">
      <formula>$C$4="yes"</formula>
    </cfRule>
  </conditionalFormatting>
  <conditionalFormatting sqref="C13 C29">
    <cfRule type="expression" dxfId="38" priority="38">
      <formula>$C$3="yes"</formula>
    </cfRule>
  </conditionalFormatting>
  <conditionalFormatting sqref="C44 C41">
    <cfRule type="expression" dxfId="37" priority="23">
      <formula>$E$43</formula>
    </cfRule>
  </conditionalFormatting>
  <conditionalFormatting sqref="C42:C43">
    <cfRule type="expression" dxfId="36" priority="22">
      <formula>$E$44</formula>
    </cfRule>
  </conditionalFormatting>
  <conditionalFormatting sqref="E32">
    <cfRule type="expression" dxfId="35" priority="20">
      <formula>#REF!</formula>
    </cfRule>
    <cfRule type="expression" dxfId="34" priority="21">
      <formula>#REF!</formula>
    </cfRule>
  </conditionalFormatting>
  <conditionalFormatting sqref="D30:D31">
    <cfRule type="expression" dxfId="33" priority="19">
      <formula>$C$3="yes"</formula>
    </cfRule>
  </conditionalFormatting>
  <conditionalFormatting sqref="D32:D33">
    <cfRule type="expression" dxfId="32" priority="18">
      <formula>$C$4="no"</formula>
    </cfRule>
  </conditionalFormatting>
  <conditionalFormatting sqref="C30">
    <cfRule type="expression" dxfId="31" priority="15">
      <formula>$C$3="no"</formula>
    </cfRule>
    <cfRule type="expression" dxfId="30" priority="16">
      <formula>$E$31</formula>
    </cfRule>
  </conditionalFormatting>
  <conditionalFormatting sqref="C33">
    <cfRule type="expression" dxfId="29" priority="13">
      <formula>$C$4="no"</formula>
    </cfRule>
    <cfRule type="expression" dxfId="28" priority="14">
      <formula>$E$32</formula>
    </cfRule>
  </conditionalFormatting>
  <conditionalFormatting sqref="C32">
    <cfRule type="expression" dxfId="27" priority="11">
      <formula>$C$4="no"</formula>
    </cfRule>
    <cfRule type="expression" dxfId="26" priority="12">
      <formula>$E$33</formula>
    </cfRule>
  </conditionalFormatting>
  <conditionalFormatting sqref="C31">
    <cfRule type="expression" dxfId="25" priority="8">
      <formula>$C$4="no"</formula>
    </cfRule>
    <cfRule type="expression" dxfId="24" priority="9" stopIfTrue="1">
      <formula>$C$4="yes"</formula>
    </cfRule>
    <cfRule type="expression" dxfId="23" priority="10">
      <formula>$E$30</formula>
    </cfRule>
  </conditionalFormatting>
  <conditionalFormatting sqref="B51:B322">
    <cfRule type="cellIs" dxfId="22" priority="7" operator="greaterThan">
      <formula>$C$46</formula>
    </cfRule>
  </conditionalFormatting>
  <conditionalFormatting sqref="D51:D322">
    <cfRule type="expression" dxfId="21" priority="6">
      <formula>$B51&gt;$C$46</formula>
    </cfRule>
  </conditionalFormatting>
  <conditionalFormatting sqref="E51:K322">
    <cfRule type="expression" dxfId="20" priority="3">
      <formula>$B51&gt;$C$46</formula>
    </cfRule>
  </conditionalFormatting>
  <conditionalFormatting sqref="D46">
    <cfRule type="expression" dxfId="19" priority="2">
      <formula>$C$3="yes"</formula>
    </cfRule>
  </conditionalFormatting>
  <conditionalFormatting sqref="C46:C47">
    <cfRule type="expression" dxfId="18" priority="1">
      <formula>$C$3="yes"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2"/>
  <sheetViews>
    <sheetView zoomScale="85" zoomScaleNormal="85" workbookViewId="0">
      <selection activeCell="A6" sqref="A6:C7"/>
    </sheetView>
  </sheetViews>
  <sheetFormatPr defaultRowHeight="13.2"/>
  <cols>
    <col min="1" max="1" width="30.33203125" style="3" customWidth="1"/>
    <col min="2" max="2" width="12.88671875" style="3" customWidth="1"/>
    <col min="3" max="3" width="10.109375" style="3" customWidth="1"/>
    <col min="5" max="5" width="7" bestFit="1" customWidth="1"/>
  </cols>
  <sheetData>
    <row r="1" spans="1:3" ht="15.6">
      <c r="A1" s="1" t="s">
        <v>77</v>
      </c>
      <c r="B1" s="2"/>
      <c r="C1" s="2"/>
    </row>
    <row r="2" spans="1:3">
      <c r="A2" s="4" t="s">
        <v>70</v>
      </c>
      <c r="B2" s="4"/>
      <c r="C2" s="28" t="s">
        <v>67</v>
      </c>
    </row>
    <row r="3" spans="1:3">
      <c r="A3" s="4" t="str">
        <f>IF(C2="yes","","Advection in low-permeability media (yes/no)")</f>
        <v>Advection in low-permeability media (yes/no)</v>
      </c>
      <c r="B3" s="4"/>
      <c r="C3" s="29"/>
    </row>
    <row r="6" spans="1:3" ht="15.6">
      <c r="A6" s="1" t="s">
        <v>4</v>
      </c>
      <c r="B6" s="2"/>
      <c r="C6" s="2"/>
    </row>
    <row r="7" spans="1:3" ht="15.6">
      <c r="A7" s="1" t="s">
        <v>74</v>
      </c>
      <c r="B7" s="2"/>
      <c r="C7" s="2"/>
    </row>
    <row r="8" spans="1:3">
      <c r="A8" s="4" t="s">
        <v>13</v>
      </c>
      <c r="B8" s="5" t="s">
        <v>35</v>
      </c>
      <c r="C8" s="16">
        <v>1</v>
      </c>
    </row>
    <row r="9" spans="1:3">
      <c r="A9" s="4" t="s">
        <v>16</v>
      </c>
      <c r="B9" s="9" t="s">
        <v>3</v>
      </c>
      <c r="C9" s="16">
        <v>0.3</v>
      </c>
    </row>
    <row r="10" spans="1:3" ht="15.6">
      <c r="A10" s="4" t="s">
        <v>17</v>
      </c>
      <c r="B10" s="5" t="s">
        <v>43</v>
      </c>
      <c r="C10" s="16">
        <v>6.0000000000000001E-3</v>
      </c>
    </row>
    <row r="11" spans="1:3" ht="15.6">
      <c r="A11" s="4" t="s">
        <v>18</v>
      </c>
      <c r="B11" s="9" t="s">
        <v>39</v>
      </c>
      <c r="C11" s="16">
        <v>0</v>
      </c>
    </row>
    <row r="12" spans="1:3" ht="15.6">
      <c r="A12" s="4" t="s">
        <v>0</v>
      </c>
      <c r="B12" s="5" t="s">
        <v>40</v>
      </c>
      <c r="C12" s="16">
        <v>1</v>
      </c>
    </row>
    <row r="13" spans="1:3" ht="15.6">
      <c r="A13" s="4" t="s">
        <v>19</v>
      </c>
      <c r="B13" s="5" t="s">
        <v>41</v>
      </c>
      <c r="C13" s="6">
        <v>1</v>
      </c>
    </row>
    <row r="14" spans="1:3">
      <c r="A14" s="4" t="s">
        <v>32</v>
      </c>
      <c r="B14" s="5" t="s">
        <v>42</v>
      </c>
      <c r="C14" s="17">
        <v>10</v>
      </c>
    </row>
    <row r="15" spans="1:3">
      <c r="A15" s="4" t="s">
        <v>14</v>
      </c>
      <c r="B15" s="5" t="s">
        <v>37</v>
      </c>
      <c r="C15" s="19" t="str">
        <f>IF($C$2="yes",C23,"")</f>
        <v/>
      </c>
    </row>
    <row r="16" spans="1:3" ht="15.6">
      <c r="A16" s="4" t="s">
        <v>20</v>
      </c>
      <c r="B16" s="5" t="s">
        <v>34</v>
      </c>
      <c r="C16" s="10" t="str">
        <f>IF($C$2="yes",C15^2*1000*9.81/(12*0.0013)*C26*3600*24*365,"")</f>
        <v/>
      </c>
    </row>
    <row r="17" spans="1:4" ht="15.6">
      <c r="A17" s="4" t="s">
        <v>45</v>
      </c>
      <c r="B17" s="5" t="s">
        <v>46</v>
      </c>
      <c r="C17" s="15">
        <f>C31*C33*3600*24*365/C9</f>
        <v>0.21024000000000001</v>
      </c>
    </row>
    <row r="18" spans="1:4" ht="13.8">
      <c r="A18" s="4" t="s">
        <v>68</v>
      </c>
      <c r="B18" s="5" t="s">
        <v>69</v>
      </c>
      <c r="C18" s="15">
        <v>0.1</v>
      </c>
    </row>
    <row r="20" spans="1:4" ht="15.6">
      <c r="A20" s="1" t="s">
        <v>72</v>
      </c>
      <c r="B20" s="2"/>
      <c r="C20" s="2"/>
    </row>
    <row r="21" spans="1:4">
      <c r="A21" s="18" t="s">
        <v>71</v>
      </c>
      <c r="B21" s="2"/>
      <c r="C21" s="2"/>
    </row>
    <row r="22" spans="1:4">
      <c r="A22" s="4" t="s">
        <v>15</v>
      </c>
      <c r="B22" s="5" t="s">
        <v>38</v>
      </c>
      <c r="C22" s="6" t="str">
        <f>IF(C2="yes",C29,"")</f>
        <v/>
      </c>
    </row>
    <row r="23" spans="1:4">
      <c r="A23" s="4" t="s">
        <v>14</v>
      </c>
      <c r="B23" s="5" t="s">
        <v>37</v>
      </c>
      <c r="C23" s="30" t="str">
        <f>IF(C2="yes",IF(ISBLANK($C$30)=FALSE,$C$30,($C$31*12*0.0013*$C$29/(1000*9.81))^(1/3)),"")</f>
        <v/>
      </c>
    </row>
    <row r="24" spans="1:4" ht="15.6">
      <c r="A24" s="4" t="s">
        <v>22</v>
      </c>
      <c r="B24" s="5" t="s">
        <v>48</v>
      </c>
      <c r="C24" s="8">
        <f>IF($C$3="no","",IF(ISBLANK($C$31)=FALSE,$C$31,1000*9.81*$C$23^(3)/(12*0.0013*$C$22)))</f>
        <v>1E-8</v>
      </c>
    </row>
    <row r="25" spans="1:4">
      <c r="A25" s="4" t="s">
        <v>2</v>
      </c>
      <c r="B25" s="5" t="s">
        <v>36</v>
      </c>
      <c r="C25" s="21">
        <f>IF($C$3="no","",IF(ISBLANK($C$32)=FALSE,$C$32,$C$24*$C$26*3600*24*365*1000))</f>
        <v>63.072000000000003</v>
      </c>
    </row>
    <row r="26" spans="1:4">
      <c r="A26" s="4" t="s">
        <v>23</v>
      </c>
      <c r="B26" s="5" t="s">
        <v>47</v>
      </c>
      <c r="C26" s="15">
        <f>IF($C$3="no","",IF(ISBLANK($C$33)=FALSE,$C$33,C32/1000/3600/24/365/$C$31))</f>
        <v>0.2</v>
      </c>
    </row>
    <row r="28" spans="1:4" ht="15.6">
      <c r="A28" s="1" t="s">
        <v>73</v>
      </c>
      <c r="B28" s="2"/>
      <c r="C28" s="2"/>
    </row>
    <row r="29" spans="1:4">
      <c r="A29" s="4" t="s">
        <v>15</v>
      </c>
      <c r="B29" s="5" t="s">
        <v>38</v>
      </c>
      <c r="C29" s="6">
        <v>1</v>
      </c>
    </row>
    <row r="30" spans="1:4">
      <c r="A30" s="4" t="s">
        <v>14</v>
      </c>
      <c r="B30" s="5" t="s">
        <v>37</v>
      </c>
      <c r="C30" s="8"/>
      <c r="D30" s="22" t="b">
        <f>ISBLANK(C30)</f>
        <v>1</v>
      </c>
    </row>
    <row r="31" spans="1:4" ht="15.6">
      <c r="A31" s="4" t="s">
        <v>22</v>
      </c>
      <c r="B31" s="5" t="s">
        <v>48</v>
      </c>
      <c r="C31" s="8">
        <v>1E-8</v>
      </c>
      <c r="D31" s="22" t="b">
        <f>ISBLANK(C31)</f>
        <v>0</v>
      </c>
    </row>
    <row r="32" spans="1:4">
      <c r="A32" s="4" t="s">
        <v>2</v>
      </c>
      <c r="B32" s="5" t="s">
        <v>36</v>
      </c>
      <c r="C32" s="21"/>
      <c r="D32" s="22" t="b">
        <f>ISBLANK(C32)</f>
        <v>1</v>
      </c>
    </row>
    <row r="33" spans="1:4">
      <c r="A33" s="4" t="s">
        <v>23</v>
      </c>
      <c r="B33" s="5" t="s">
        <v>47</v>
      </c>
      <c r="C33" s="15">
        <v>0.2</v>
      </c>
      <c r="D33" s="22" t="b">
        <f>ISBLANK(C33)</f>
        <v>0</v>
      </c>
    </row>
    <row r="34" spans="1:4" s="23" customFormat="1">
      <c r="A34" s="24"/>
      <c r="B34" s="24"/>
      <c r="C34" s="24"/>
    </row>
    <row r="35" spans="1:4" ht="15.6">
      <c r="A35" s="1" t="s">
        <v>75</v>
      </c>
      <c r="B35" s="2"/>
      <c r="C35" s="2"/>
    </row>
    <row r="36" spans="1:4">
      <c r="A36" s="4" t="s">
        <v>5</v>
      </c>
      <c r="B36" s="13"/>
      <c r="C36" s="11">
        <f>C30/2*C48/(C9*SQRT(C12*C10))</f>
        <v>0</v>
      </c>
    </row>
    <row r="37" spans="1:4">
      <c r="A37" s="4" t="s">
        <v>8</v>
      </c>
      <c r="B37" s="12"/>
      <c r="C37" s="11">
        <f>SQRT(C11/C12)</f>
        <v>0</v>
      </c>
    </row>
    <row r="38" spans="1:4">
      <c r="A38" s="4" t="s">
        <v>1</v>
      </c>
      <c r="B38" s="13"/>
      <c r="C38" s="11">
        <f>SQRT(C12/C10)</f>
        <v>12.909944487358056</v>
      </c>
    </row>
    <row r="40" spans="1:4" ht="15.6">
      <c r="A40" s="1" t="s">
        <v>76</v>
      </c>
      <c r="B40" s="2"/>
      <c r="C40" s="2"/>
    </row>
    <row r="41" spans="1:4">
      <c r="A41" s="4" t="s">
        <v>51</v>
      </c>
      <c r="B41" s="5" t="s">
        <v>52</v>
      </c>
      <c r="C41" s="25">
        <v>1</v>
      </c>
    </row>
    <row r="42" spans="1:4">
      <c r="A42" s="4" t="s">
        <v>53</v>
      </c>
      <c r="B42" s="5" t="s">
        <v>54</v>
      </c>
      <c r="C42" s="25">
        <v>0.2</v>
      </c>
    </row>
    <row r="43" spans="1:4">
      <c r="A43" s="4" t="s">
        <v>21</v>
      </c>
      <c r="B43" s="7" t="s">
        <v>7</v>
      </c>
      <c r="C43" s="21">
        <v>10</v>
      </c>
      <c r="D43" s="22" t="b">
        <f>ISBLANK(C43)</f>
        <v>0</v>
      </c>
    </row>
    <row r="44" spans="1:4">
      <c r="A44" s="4" t="s">
        <v>11</v>
      </c>
      <c r="B44" s="7" t="s">
        <v>9</v>
      </c>
      <c r="C44" s="20"/>
      <c r="D44" s="22" t="b">
        <f>ISBLANK(C44)</f>
        <v>1</v>
      </c>
    </row>
    <row r="46" spans="1:4" s="23" customFormat="1">
      <c r="A46" s="24"/>
      <c r="B46" s="24"/>
      <c r="C46" s="24"/>
    </row>
    <row r="47" spans="1:4" s="23" customFormat="1">
      <c r="A47" s="24"/>
      <c r="B47" s="24"/>
      <c r="C47" s="24"/>
    </row>
    <row r="48" spans="1:4" s="23" customFormat="1">
      <c r="A48" s="26"/>
      <c r="B48" s="27"/>
      <c r="C48" s="24"/>
    </row>
    <row r="49" spans="1:3" s="23" customFormat="1">
      <c r="A49" s="24"/>
      <c r="B49" s="24"/>
      <c r="C49" s="24"/>
    </row>
    <row r="50" spans="1:3" s="23" customFormat="1">
      <c r="A50" s="24"/>
      <c r="B50" s="24"/>
      <c r="C50" s="24"/>
    </row>
    <row r="51" spans="1:3" s="23" customFormat="1">
      <c r="A51" s="26"/>
      <c r="B51" s="27"/>
      <c r="C51" s="14"/>
    </row>
    <row r="52" spans="1:3" s="23" customFormat="1">
      <c r="A52" s="24"/>
      <c r="B52" s="24"/>
      <c r="C52" s="24"/>
    </row>
  </sheetData>
  <conditionalFormatting sqref="C30">
    <cfRule type="expression" dxfId="17" priority="40">
      <formula>$D$31</formula>
    </cfRule>
  </conditionalFormatting>
  <conditionalFormatting sqref="C33">
    <cfRule type="expression" dxfId="16" priority="3">
      <formula>$C$3="no"</formula>
    </cfRule>
    <cfRule type="expression" dxfId="15" priority="12">
      <formula>$D$32</formula>
    </cfRule>
  </conditionalFormatting>
  <conditionalFormatting sqref="C32">
    <cfRule type="expression" dxfId="14" priority="2">
      <formula>$C$3="no"</formula>
    </cfRule>
    <cfRule type="expression" dxfId="13" priority="11">
      <formula>$D$33</formula>
    </cfRule>
  </conditionalFormatting>
  <conditionalFormatting sqref="C44 C41">
    <cfRule type="expression" dxfId="12" priority="9">
      <formula>$D$43</formula>
    </cfRule>
  </conditionalFormatting>
  <conditionalFormatting sqref="C42:C43">
    <cfRule type="expression" dxfId="11" priority="8">
      <formula>$D$44</formula>
    </cfRule>
  </conditionalFormatting>
  <conditionalFormatting sqref="C15:C16">
    <cfRule type="expression" dxfId="10" priority="42">
      <formula>$C$2="yes"</formula>
    </cfRule>
  </conditionalFormatting>
  <conditionalFormatting sqref="C13">
    <cfRule type="expression" dxfId="9" priority="44">
      <formula>$C$2="yes"</formula>
    </cfRule>
  </conditionalFormatting>
  <conditionalFormatting sqref="C22:C26">
    <cfRule type="expression" dxfId="8" priority="46">
      <formula>$C$2="yes"</formula>
    </cfRule>
  </conditionalFormatting>
  <conditionalFormatting sqref="C29">
    <cfRule type="expression" dxfId="7" priority="48">
      <formula>$C$2="yes"</formula>
    </cfRule>
  </conditionalFormatting>
  <conditionalFormatting sqref="C17">
    <cfRule type="expression" dxfId="6" priority="50">
      <formula>$C$3="yes"</formula>
    </cfRule>
  </conditionalFormatting>
  <conditionalFormatting sqref="C18">
    <cfRule type="expression" dxfId="5" priority="51">
      <formula>$C$3="yes"</formula>
    </cfRule>
  </conditionalFormatting>
  <conditionalFormatting sqref="C24:C26">
    <cfRule type="expression" dxfId="4" priority="52">
      <formula>$C$3="yes"</formula>
    </cfRule>
  </conditionalFormatting>
  <conditionalFormatting sqref="C31">
    <cfRule type="expression" dxfId="3" priority="4">
      <formula>$C$3="no"</formula>
    </cfRule>
    <cfRule type="expression" dxfId="2" priority="53" stopIfTrue="1">
      <formula>$C$3="yes"</formula>
    </cfRule>
    <cfRule type="expression" dxfId="1" priority="54">
      <formula>$D$30</formula>
    </cfRule>
  </conditionalFormatting>
  <conditionalFormatting sqref="C3">
    <cfRule type="expression" dxfId="0" priority="1">
      <formula>$C$2="no"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model 1a</vt:lpstr>
      <vt:lpstr>model 1b</vt:lpstr>
      <vt:lpstr>model 2</vt:lpstr>
      <vt:lpstr>Sheet1</vt:lpstr>
    </vt:vector>
  </TitlesOfParts>
  <Company>E&amp;R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Chambon</dc:creator>
  <cp:lastModifiedBy>Gry Sander Janniche</cp:lastModifiedBy>
  <dcterms:created xsi:type="dcterms:W3CDTF">2009-10-20T09:24:57Z</dcterms:created>
  <dcterms:modified xsi:type="dcterms:W3CDTF">2011-10-24T12:10:08Z</dcterms:modified>
</cp:coreProperties>
</file>